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9.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omments8.xml" ContentType="application/vnd.openxmlformats-officedocument.spreadsheetml.comments+xml"/>
  <Override PartName="/xl/charts/chart13.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629"/>
  <workbookPr defaultThemeVersion="124226"/>
  <mc:AlternateContent xmlns:mc="http://schemas.openxmlformats.org/markup-compatibility/2006">
    <mc:Choice Requires="x15">
      <x15ac:absPath xmlns:x15ac="http://schemas.microsoft.com/office/spreadsheetml/2010/11/ac" url="https://d.docs.live.net/3cd20f56fb325a7d/Documents/000000 REFAI OneDrive/"/>
    </mc:Choice>
  </mc:AlternateContent>
  <xr:revisionPtr revIDLastSave="0" documentId="8_{9A70F884-FB6B-4CE1-935E-4EC794260178}" xr6:coauthVersionLast="43" xr6:coauthVersionMax="43" xr10:uidLastSave="{00000000-0000-0000-0000-000000000000}"/>
  <bookViews>
    <workbookView xWindow="-110" yWindow="-110" windowWidth="38620" windowHeight="21360" tabRatio="654"/>
  </bookViews>
  <sheets>
    <sheet name="Cover" sheetId="9" r:id="rId1"/>
    <sheet name="1. Pref Non-Compounded Annual" sheetId="35" r:id="rId2"/>
    <sheet name="2. Pref Non-Compounded Solution" sheetId="17" r:id="rId3"/>
    <sheet name="3. Pref Compounded Monthly" sheetId="25" r:id="rId4"/>
    <sheet name="4. Pref Compounded Solution" sheetId="26" r:id="rId5"/>
    <sheet name="5. 3-Tier Waterfall" sheetId="29" r:id="rId6"/>
    <sheet name="6.Double Promote Profit Sharing" sheetId="36" r:id="rId7"/>
    <sheet name="7. Double Promote Waterfall #1" sheetId="43" r:id="rId8"/>
    <sheet name="8. Exercise - Rebuild Tier #3" sheetId="58" r:id="rId9"/>
    <sheet name="9. Double Promote Waterfall #2" sheetId="45" r:id="rId10"/>
    <sheet name="10. Returns Exhibit" sheetId="46" r:id="rId11"/>
    <sheet name="Alternate Compounding Periods" sheetId="60" r:id="rId12"/>
    <sheet name="11. Partnership Structure 1" sheetId="5" r:id="rId13"/>
    <sheet name="12. Partnership Structure 2" sheetId="4" r:id="rId14"/>
    <sheet name="13. Partnership Structure 3" sheetId="12" r:id="rId15"/>
    <sheet name="14. Claw-Back" sheetId="14" r:id="rId16"/>
  </sheets>
  <externalReferences>
    <externalReference r:id="rId17"/>
    <externalReference r:id="rId18"/>
    <externalReference r:id="rId19"/>
  </externalReferences>
  <definedNames>
    <definedName name="__wrn2"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_wrn3"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_1__123Graph_ACHART_1" hidden="1">'[1]REITs &amp; S&amp;P'!$F$11:$F$31</definedName>
    <definedName name="_2__123Graph_ACHART_2" hidden="1">[2]A!$E$171:$E$177</definedName>
    <definedName name="_3__123Graph_BCHART_1" hidden="1">[3]A!$E$135:$E$141</definedName>
    <definedName name="_4__123Graph_XCHART_1" hidden="1">'[1]REITs &amp; S&amp;P'!$D$11:$D$31</definedName>
    <definedName name="_5__123Graph_XCHART_2" hidden="1">[2]A!$D$171:$D$177</definedName>
    <definedName name="_wrn2" localSheetId="15"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wrn2" localSheetId="0"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wrn2"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_wrn3" localSheetId="15"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_wrn3" localSheetId="0"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_wrn3"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asdf2" localSheetId="12" hidden="1">{#N/A,#N/A,FALSE,"OperatingAssumptions"}</definedName>
    <definedName name="asdf2" localSheetId="13" hidden="1">{#N/A,#N/A,FALSE,"OperatingAssumptions"}</definedName>
    <definedName name="asdf2" localSheetId="14" hidden="1">{#N/A,#N/A,FALSE,"OperatingAssumptions"}</definedName>
    <definedName name="asdf2" localSheetId="15" hidden="1">{#N/A,#N/A,FALSE,"OperatingAssumptions"}</definedName>
    <definedName name="asdf2" localSheetId="0" hidden="1">{#N/A,#N/A,FALSE,"OperatingAssumptions"}</definedName>
    <definedName name="asdf2" hidden="1">{#N/A,#N/A,FALSE,"OperatingAssumptions"}</definedName>
    <definedName name="asdf3" localSheetId="12" hidden="1">{#N/A,#N/A,FALSE,"LoanAssumptions"}</definedName>
    <definedName name="asdf3" localSheetId="13" hidden="1">{#N/A,#N/A,FALSE,"LoanAssumptions"}</definedName>
    <definedName name="asdf3" localSheetId="14" hidden="1">{#N/A,#N/A,FALSE,"LoanAssumptions"}</definedName>
    <definedName name="asdf3" localSheetId="15" hidden="1">{#N/A,#N/A,FALSE,"LoanAssumptions"}</definedName>
    <definedName name="asdf3" localSheetId="0" hidden="1">{#N/A,#N/A,FALSE,"LoanAssumptions"}</definedName>
    <definedName name="asdf3" hidden="1">{#N/A,#N/A,FALSE,"LoanAssumptions"}</definedName>
    <definedName name="asdf5" localSheetId="12" hidden="1">{"MonthlyRentRoll",#N/A,FALSE,"RentRoll"}</definedName>
    <definedName name="asdf5" localSheetId="13" hidden="1">{"MonthlyRentRoll",#N/A,FALSE,"RentRoll"}</definedName>
    <definedName name="asdf5" localSheetId="14" hidden="1">{"MonthlyRentRoll",#N/A,FALSE,"RentRoll"}</definedName>
    <definedName name="asdf5" localSheetId="15" hidden="1">{"MonthlyRentRoll",#N/A,FALSE,"RentRoll"}</definedName>
    <definedName name="asdf5" localSheetId="0" hidden="1">{"MonthlyRentRoll",#N/A,FALSE,"RentRoll"}</definedName>
    <definedName name="asdf5" hidden="1">{"MonthlyRentRoll",#N/A,FALSE,"RentRoll"}</definedName>
    <definedName name="asdf7" localSheetId="12" hidden="1">{#N/A,#N/A,TRUE,"Summary";"AnnualRentRoll",#N/A,TRUE,"RentRoll";#N/A,#N/A,TRUE,"ExitStratigy";#N/A,#N/A,TRUE,"OperatingAssumptions"}</definedName>
    <definedName name="asdf7" localSheetId="13" hidden="1">{#N/A,#N/A,TRUE,"Summary";"AnnualRentRoll",#N/A,TRUE,"RentRoll";#N/A,#N/A,TRUE,"ExitStratigy";#N/A,#N/A,TRUE,"OperatingAssumptions"}</definedName>
    <definedName name="asdf7" localSheetId="14" hidden="1">{#N/A,#N/A,TRUE,"Summary";"AnnualRentRoll",#N/A,TRUE,"RentRoll";#N/A,#N/A,TRUE,"ExitStratigy";#N/A,#N/A,TRUE,"OperatingAssumptions"}</definedName>
    <definedName name="asdf7" localSheetId="15" hidden="1">{#N/A,#N/A,TRUE,"Summary";"AnnualRentRoll",#N/A,TRUE,"RentRoll";#N/A,#N/A,TRUE,"ExitStratigy";#N/A,#N/A,TRUE,"OperatingAssumptions"}</definedName>
    <definedName name="asdf7" localSheetId="0" hidden="1">{#N/A,#N/A,TRUE,"Summary";"AnnualRentRoll",#N/A,TRUE,"RentRoll";#N/A,#N/A,TRUE,"ExitStratigy";#N/A,#N/A,TRUE,"OperatingAssumptions"}</definedName>
    <definedName name="asdf7" hidden="1">{#N/A,#N/A,TRUE,"Summary";"AnnualRentRoll",#N/A,TRUE,"RentRoll";#N/A,#N/A,TRUE,"ExitStratigy";#N/A,#N/A,TRUE,"OperatingAssumptions"}</definedName>
    <definedName name="HTML_CodePage" hidden="1">1252</definedName>
    <definedName name="HTML_Control" localSheetId="12" hidden="1">{"'Cash Requirements 5F '!$A$1:$AC$48"}</definedName>
    <definedName name="HTML_Control" localSheetId="13" hidden="1">{"'Cash Requirements 5F '!$A$1:$AC$48"}</definedName>
    <definedName name="HTML_Control" localSheetId="14" hidden="1">{"'Cash Requirements 5F '!$A$1:$AC$48"}</definedName>
    <definedName name="HTML_Control" localSheetId="15" hidden="1">{"'Cash Requirements 5F '!$A$1:$AC$48"}</definedName>
    <definedName name="HTML_Control" localSheetId="0" hidden="1">{"'Cash Requirements 5F '!$A$1:$AC$48"}</definedName>
    <definedName name="HTML_Control" hidden="1">{"'Cash Requirements 5F '!$A$1:$AC$48"}</definedName>
    <definedName name="HTML_Description" hidden="1">""</definedName>
    <definedName name="HTML_Email" hidden="1">""</definedName>
    <definedName name="HTML_Header" hidden="1">"Cash Requirements 5F"</definedName>
    <definedName name="HTML_LastUpdate" hidden="1">"7/10/00"</definedName>
    <definedName name="HTML_LineAfter" hidden="1">FALSE</definedName>
    <definedName name="HTML_LineBefore" hidden="1">FALSE</definedName>
    <definedName name="HTML_Name" hidden="1">"ERICK"</definedName>
    <definedName name="HTML_OBDlg2" hidden="1">TRUE</definedName>
    <definedName name="HTML_OBDlg4" hidden="1">TRUE</definedName>
    <definedName name="HTML_OS" hidden="1">0</definedName>
    <definedName name="HTML_PathFile" hidden="1">"C:\xldata\july2000cash.htm"</definedName>
    <definedName name="HTML_Title" hidden="1">"Discover July 2000 Cashflow"</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Last_Row" localSheetId="1">IF('1. Pref Non-Compounded Annual'!Values_Entered,Header_Row+'1. Pref Non-Compounded Annual'!Number_of_Payments,Header_Row)</definedName>
    <definedName name="Last_Row" localSheetId="12">IF('11. Partnership Structure 1'!Values_Entered,'11. Partnership Structure 1'!Header_Row+'11. Partnership Structure 1'!Number_of_Payments,'11. Partnership Structure 1'!Header_Row)</definedName>
    <definedName name="Last_Row" localSheetId="13">IF('12. Partnership Structure 2'!Values_Entered,'12. Partnership Structure 2'!Header_Row+'12. Partnership Structure 2'!Number_of_Payments,'12. Partnership Structure 2'!Header_Row)</definedName>
    <definedName name="Last_Row" localSheetId="14">IF('13. Partnership Structure 3'!Values_Entered,'13. Partnership Structure 3'!Header_Row+'13. Partnership Structure 3'!Number_of_Payments,'13. Partnership Structure 3'!Header_Row)</definedName>
    <definedName name="Last_Row" localSheetId="15">IF('14. Claw-Back'!Values_Entered,[0]!Header_Row+'14. Claw-Back'!Number_of_Payments,[0]!Header_Row)</definedName>
    <definedName name="Last_Row" localSheetId="0">IF(Cover!Values_Entered,Header_Row+Cover!Number_of_Payments,Header_Row)</definedName>
    <definedName name="Last_Row">IF(Values_Entered,Header_Row+Number_of_Payments,Header_Row)</definedName>
    <definedName name="Number_of_Payments" localSheetId="1">MATCH(0.01,End_Bal,-1)+1</definedName>
    <definedName name="Number_of_Payments" localSheetId="12">MATCH(0.01,'11. Partnership Structure 1'!End_Bal,-1)+1</definedName>
    <definedName name="Number_of_Payments" localSheetId="13">MATCH(0.01,'12. Partnership Structure 2'!End_Bal,-1)+1</definedName>
    <definedName name="Number_of_Payments" localSheetId="14">MATCH(0.01,'13. Partnership Structure 3'!End_Bal,-1)+1</definedName>
    <definedName name="Number_of_Payments" localSheetId="15">MATCH(0.01,[0]!End_Bal,-1)+1</definedName>
    <definedName name="Number_of_Payments" localSheetId="0">MATCH(0.01,End_Bal,-1)+1</definedName>
    <definedName name="Number_of_Payments">MATCH(0.01,End_Bal,-1)+1</definedName>
    <definedName name="Payment_Date" localSheetId="1">DATE(YEAR([0]!Loan_Start),MONTH([0]!Loan_Start)+Payment_Number,DAY([0]!Loan_Start))</definedName>
    <definedName name="Payment_Date" localSheetId="12">DATE(YEAR('11. Partnership Structure 1'!Loan_Start),MONTH('11. Partnership Structure 1'!Loan_Start)+Payment_Number,DAY('11. Partnership Structure 1'!Loan_Start))</definedName>
    <definedName name="Payment_Date" localSheetId="13">DATE(YEAR('12. Partnership Structure 2'!Loan_Start),MONTH('12. Partnership Structure 2'!Loan_Start)+Payment_Number,DAY('12. Partnership Structure 2'!Loan_Start))</definedName>
    <definedName name="Payment_Date" localSheetId="14">DATE(YEAR('13. Partnership Structure 3'!Loan_Start),MONTH('13. Partnership Structure 3'!Loan_Start)+Payment_Number,DAY('13. Partnership Structure 3'!Loan_Start))</definedName>
    <definedName name="Payment_Date" localSheetId="15">DATE(YEAR([0]!Loan_Start),MONTH([0]!Loan_Start)+Payment_Number,DAY([0]!Loan_Start))</definedName>
    <definedName name="Payment_Date" localSheetId="2">DATE(YEAR([0]!Loan_Start),MONTH([0]!Loan_Start)+Payment_Number,DAY([0]!Loan_Start))</definedName>
    <definedName name="Payment_Date" localSheetId="3">DATE(YEAR([0]!Loan_Start),MONTH([0]!Loan_Start)+Payment_Number,DAY([0]!Loan_Start))</definedName>
    <definedName name="Payment_Date" localSheetId="4">DATE(YEAR([0]!Loan_Start),MONTH([0]!Loan_Start)+Payment_Number,DAY([0]!Loan_Start))</definedName>
    <definedName name="Payment_Date" localSheetId="8">DATE(YEAR([0]!Loan_Start),MONTH([0]!Loan_Start)+Payment_Number,DAY([0]!Loan_Start))</definedName>
    <definedName name="Payment_Date" localSheetId="11">DATE(YEAR([0]!Loan_Start),MONTH([0]!Loan_Start)+Payment_Number,DAY([0]!Loan_Start))</definedName>
    <definedName name="Payment_Date" localSheetId="0">DATE(YEAR(Loan_Start),MONTH(Loan_Start)+Payment_Number,DAY(Loan_Start))</definedName>
    <definedName name="Payment_Date">DATE(YEAR(Loan_Start),MONTH(Loan_Start)+Payment_Number,DAY(Loan_Start))</definedName>
    <definedName name="Print" hidden="1">{#N/A,#N/A,TRUE,"Cover";#N/A,#N/A,TRUE,"Stack";#N/A,#N/A,TRUE,"Cost S";#N/A,#N/A,TRUE,"Financing";#N/A,#N/A,TRUE," CF";#N/A,#N/A,TRUE,"CF Mnthly";#N/A,#N/A,TRUE,"CF assum";#N/A,#N/A,TRUE,"Unit Sales";#N/A,#N/A,TRUE,"REV";#N/A,#N/A,TRUE,"Bdgt Backup"}</definedName>
    <definedName name="_xlnm.Print_Area" localSheetId="10">'10. Returns Exhibit'!$B$2:$AE$53</definedName>
    <definedName name="_xlnm.Print_Area" localSheetId="12">'11. Partnership Structure 1'!$B$2:$H$19</definedName>
    <definedName name="_xlnm.Print_Area" localSheetId="13">'12. Partnership Structure 2'!$B$2:$H$22</definedName>
    <definedName name="_xlnm.Print_Area" localSheetId="14">'13. Partnership Structure 3'!$B$2:$H$26</definedName>
    <definedName name="_xlnm.Print_Area" localSheetId="6">'6.Double Promote Profit Sharing'!$A$1:$G$12</definedName>
    <definedName name="_xlnm.Print_Area" localSheetId="7">'7. Double Promote Waterfall #1'!$B$1:$S$117</definedName>
    <definedName name="_xlnm.Print_Area" localSheetId="8">'8. Exercise - Rebuild Tier #3'!$B$1:$S$117</definedName>
    <definedName name="_xlnm.Print_Area" localSheetId="9">'9. Double Promote Waterfall #2'!$B$1:$S$123</definedName>
    <definedName name="_xlnm.Print_Area" localSheetId="11">'Alternate Compounding Periods'!$B$1:$S$86</definedName>
    <definedName name="Print_Area_Reset" localSheetId="1">OFFSET(Full_Print,0,0,'1. Pref Non-Compounded Annual'!Last_Row)</definedName>
    <definedName name="Print_Area_Reset" localSheetId="12">OFFSET('11. Partnership Structure 1'!Full_Print,0,0,'11. Partnership Structure 1'!Last_Row)</definedName>
    <definedName name="Print_Area_Reset" localSheetId="13">OFFSET('12. Partnership Structure 2'!Full_Print,0,0,'12. Partnership Structure 2'!Last_Row)</definedName>
    <definedName name="Print_Area_Reset" localSheetId="14">OFFSET('13. Partnership Structure 3'!Full_Print,0,0,'13. Partnership Structure 3'!Last_Row)</definedName>
    <definedName name="Print_Area_Reset" localSheetId="15">OFFSET([0]!Full_Print,0,0,'14. Claw-Back'!Last_Row)</definedName>
    <definedName name="Print_Area_Reset" localSheetId="0">OFFSET(Full_Print,0,0,Cover!Last_Row)</definedName>
    <definedName name="Print_Area_Reset">OFFSET(Full_Print,0,0,Last_Row)</definedName>
    <definedName name="Print2" hidden="1">{#N/A,#N/A,FALSE,"Cover";#N/A,#N/A,FALSE,"Stack";#N/A,#N/A,FALSE,"Cost S";#N/A,#N/A,FALSE," CF";#N/A,#N/A,FALSE,"Investor"}</definedName>
    <definedName name="Residu" localSheetId="12" hidden="1">{#N/A,#N/A,TRUE,"Summary";"AnnualRentRoll",#N/A,TRUE,"RentRoll";#N/A,#N/A,TRUE,"ExitStratigy";#N/A,#N/A,TRUE,"OperatingAssumptions"}</definedName>
    <definedName name="Residu" localSheetId="13" hidden="1">{#N/A,#N/A,TRUE,"Summary";"AnnualRentRoll",#N/A,TRUE,"RentRoll";#N/A,#N/A,TRUE,"ExitStratigy";#N/A,#N/A,TRUE,"OperatingAssumptions"}</definedName>
    <definedName name="Residu" localSheetId="14" hidden="1">{#N/A,#N/A,TRUE,"Summary";"AnnualRentRoll",#N/A,TRUE,"RentRoll";#N/A,#N/A,TRUE,"ExitStratigy";#N/A,#N/A,TRUE,"OperatingAssumptions"}</definedName>
    <definedName name="Residu" localSheetId="15" hidden="1">{#N/A,#N/A,TRUE,"Summary";"AnnualRentRoll",#N/A,TRUE,"RentRoll";#N/A,#N/A,TRUE,"ExitStratigy";#N/A,#N/A,TRUE,"OperatingAssumptions"}</definedName>
    <definedName name="Residu" localSheetId="0" hidden="1">{#N/A,#N/A,TRUE,"Summary";"AnnualRentRoll",#N/A,TRUE,"RentRoll";#N/A,#N/A,TRUE,"ExitStratigy";#N/A,#N/A,TRUE,"OperatingAssumptions"}</definedName>
    <definedName name="Residu" hidden="1">{#N/A,#N/A,TRUE,"Summary";"AnnualRentRoll",#N/A,TRUE,"RentRoll";#N/A,#N/A,TRUE,"ExitStratigy";#N/A,#N/A,TRUE,"OperatingAssumptions"}</definedName>
    <definedName name="sadd" localSheetId="12" hidden="1">{"MonthlyRentRoll",#N/A,FALSE,"RentRoll"}</definedName>
    <definedName name="sadd" localSheetId="13" hidden="1">{"MonthlyRentRoll",#N/A,FALSE,"RentRoll"}</definedName>
    <definedName name="sadd" localSheetId="14" hidden="1">{"MonthlyRentRoll",#N/A,FALSE,"RentRoll"}</definedName>
    <definedName name="sadd" localSheetId="15" hidden="1">{"MonthlyRentRoll",#N/A,FALSE,"RentRoll"}</definedName>
    <definedName name="sadd" localSheetId="0" hidden="1">{"MonthlyRentRoll",#N/A,FALSE,"RentRoll"}</definedName>
    <definedName name="sadd" hidden="1">{"MonthlyRentRoll",#N/A,FALSE,"RentRoll"}</definedName>
    <definedName name="sadd1" localSheetId="12" hidden="1">{"MonthlyRentRoll",#N/A,FALSE,"RentRoll"}</definedName>
    <definedName name="sadd1" localSheetId="13" hidden="1">{"MonthlyRentRoll",#N/A,FALSE,"RentRoll"}</definedName>
    <definedName name="sadd1" localSheetId="14" hidden="1">{"MonthlyRentRoll",#N/A,FALSE,"RentRoll"}</definedName>
    <definedName name="sadd1" localSheetId="15" hidden="1">{"MonthlyRentRoll",#N/A,FALSE,"RentRoll"}</definedName>
    <definedName name="sadd1" localSheetId="0" hidden="1">{"MonthlyRentRoll",#N/A,FALSE,"RentRoll"}</definedName>
    <definedName name="sadd1" hidden="1">{"MonthlyRentRoll",#N/A,FALSE,"RentRoll"}</definedName>
    <definedName name="sadd2" localSheetId="12" hidden="1">{"MonthlyRentRoll",#N/A,FALSE,"RentRoll"}</definedName>
    <definedName name="sadd2" localSheetId="13" hidden="1">{"MonthlyRentRoll",#N/A,FALSE,"RentRoll"}</definedName>
    <definedName name="sadd2" localSheetId="14" hidden="1">{"MonthlyRentRoll",#N/A,FALSE,"RentRoll"}</definedName>
    <definedName name="sadd2" localSheetId="15" hidden="1">{"MonthlyRentRoll",#N/A,FALSE,"RentRoll"}</definedName>
    <definedName name="sadd2" localSheetId="0" hidden="1">{"MonthlyRentRoll",#N/A,FALSE,"RentRoll"}</definedName>
    <definedName name="sadd2" hidden="1">{"MonthlyRentRoll",#N/A,FALSE,"RentRoll"}</definedName>
    <definedName name="saddd" localSheetId="12" hidden="1">{"AnnualRentRoll",#N/A,FALSE,"RentRoll"}</definedName>
    <definedName name="saddd" localSheetId="13" hidden="1">{"AnnualRentRoll",#N/A,FALSE,"RentRoll"}</definedName>
    <definedName name="saddd" localSheetId="14" hidden="1">{"AnnualRentRoll",#N/A,FALSE,"RentRoll"}</definedName>
    <definedName name="saddd" localSheetId="15" hidden="1">{"AnnualRentRoll",#N/A,FALSE,"RentRoll"}</definedName>
    <definedName name="saddd" localSheetId="0" hidden="1">{"AnnualRentRoll",#N/A,FALSE,"RentRoll"}</definedName>
    <definedName name="saddd" hidden="1">{"AnnualRentRoll",#N/A,FALSE,"RentRoll"}</definedName>
    <definedName name="saddd2" localSheetId="12" hidden="1">{"AnnualRentRoll",#N/A,FALSE,"RentRoll"}</definedName>
    <definedName name="saddd2" localSheetId="13" hidden="1">{"AnnualRentRoll",#N/A,FALSE,"RentRoll"}</definedName>
    <definedName name="saddd2" localSheetId="14" hidden="1">{"AnnualRentRoll",#N/A,FALSE,"RentRoll"}</definedName>
    <definedName name="saddd2" localSheetId="15" hidden="1">{"AnnualRentRoll",#N/A,FALSE,"RentRoll"}</definedName>
    <definedName name="saddd2" localSheetId="0" hidden="1">{"AnnualRentRoll",#N/A,FALSE,"RentRoll"}</definedName>
    <definedName name="saddd2" hidden="1">{"AnnualRentRoll",#N/A,FALSE,"RentRoll"}</definedName>
    <definedName name="sadddd2" localSheetId="12" hidden="1">{"AnnualRentRoll",#N/A,FALSE,"RentRoll"}</definedName>
    <definedName name="sadddd2" localSheetId="13" hidden="1">{"AnnualRentRoll",#N/A,FALSE,"RentRoll"}</definedName>
    <definedName name="sadddd2" localSheetId="14" hidden="1">{"AnnualRentRoll",#N/A,FALSE,"RentRoll"}</definedName>
    <definedName name="sadddd2" localSheetId="15" hidden="1">{"AnnualRentRoll",#N/A,FALSE,"RentRoll"}</definedName>
    <definedName name="sadddd2" localSheetId="0" hidden="1">{"AnnualRentRoll",#N/A,FALSE,"RentRoll"}</definedName>
    <definedName name="sadddd2" hidden="1">{"AnnualRentRoll",#N/A,FALSE,"RentRoll"}</definedName>
    <definedName name="saddddd" localSheetId="12" hidden="1">{"AnnualRentRoll",#N/A,FALSE,"RentRoll"}</definedName>
    <definedName name="saddddd" localSheetId="13" hidden="1">{"AnnualRentRoll",#N/A,FALSE,"RentRoll"}</definedName>
    <definedName name="saddddd" localSheetId="14" hidden="1">{"AnnualRentRoll",#N/A,FALSE,"RentRoll"}</definedName>
    <definedName name="saddddd" localSheetId="15" hidden="1">{"AnnualRentRoll",#N/A,FALSE,"RentRoll"}</definedName>
    <definedName name="saddddd" localSheetId="0" hidden="1">{"AnnualRentRoll",#N/A,FALSE,"RentRoll"}</definedName>
    <definedName name="saddddd" hidden="1">{"AnnualRentRoll",#N/A,FALSE,"RentRoll"}</definedName>
    <definedName name="saddddddd2" localSheetId="12" hidden="1">{#N/A,#N/A,FALSE,"ExitStratigy"}</definedName>
    <definedName name="saddddddd2" localSheetId="13" hidden="1">{#N/A,#N/A,FALSE,"ExitStratigy"}</definedName>
    <definedName name="saddddddd2" localSheetId="14" hidden="1">{#N/A,#N/A,FALSE,"ExitStratigy"}</definedName>
    <definedName name="saddddddd2" localSheetId="15" hidden="1">{#N/A,#N/A,FALSE,"ExitStratigy"}</definedName>
    <definedName name="saddddddd2" localSheetId="0" hidden="1">{#N/A,#N/A,FALSE,"ExitStratigy"}</definedName>
    <definedName name="saddddddd2" hidden="1">{#N/A,#N/A,FALSE,"ExitStratigy"}</definedName>
    <definedName name="sadddddddd" localSheetId="12" hidden="1">{#N/A,#N/A,FALSE,"ExitStratigy"}</definedName>
    <definedName name="sadddddddd" localSheetId="13" hidden="1">{#N/A,#N/A,FALSE,"ExitStratigy"}</definedName>
    <definedName name="sadddddddd" localSheetId="14" hidden="1">{#N/A,#N/A,FALSE,"ExitStratigy"}</definedName>
    <definedName name="sadddddddd" localSheetId="15" hidden="1">{#N/A,#N/A,FALSE,"ExitStratigy"}</definedName>
    <definedName name="sadddddddd" localSheetId="0" hidden="1">{#N/A,#N/A,FALSE,"ExitStratigy"}</definedName>
    <definedName name="sadddddddd" hidden="1">{#N/A,#N/A,FALSE,"ExitStratigy"}</definedName>
    <definedName name="saddddddddd2" localSheetId="12" hidden="1">{#N/A,#N/A,FALSE,"LoanAssumptions"}</definedName>
    <definedName name="saddddddddd2" localSheetId="13" hidden="1">{#N/A,#N/A,FALSE,"LoanAssumptions"}</definedName>
    <definedName name="saddddddddd2" localSheetId="14" hidden="1">{#N/A,#N/A,FALSE,"LoanAssumptions"}</definedName>
    <definedName name="saddddddddd2" localSheetId="15" hidden="1">{#N/A,#N/A,FALSE,"LoanAssumptions"}</definedName>
    <definedName name="saddddddddd2" localSheetId="0" hidden="1">{#N/A,#N/A,FALSE,"LoanAssumptions"}</definedName>
    <definedName name="saddddddddd2" hidden="1">{#N/A,#N/A,FALSE,"LoanAssumptions"}</definedName>
    <definedName name="sadddddddddd" localSheetId="12" hidden="1">{#N/A,#N/A,FALSE,"LoanAssumptions"}</definedName>
    <definedName name="sadddddddddd" localSheetId="13" hidden="1">{#N/A,#N/A,FALSE,"LoanAssumptions"}</definedName>
    <definedName name="sadddddddddd" localSheetId="14" hidden="1">{#N/A,#N/A,FALSE,"LoanAssumptions"}</definedName>
    <definedName name="sadddddddddd" localSheetId="15" hidden="1">{#N/A,#N/A,FALSE,"LoanAssumptions"}</definedName>
    <definedName name="sadddddddddd" localSheetId="0" hidden="1">{#N/A,#N/A,FALSE,"LoanAssumptions"}</definedName>
    <definedName name="sadddddddddd" hidden="1">{#N/A,#N/A,FALSE,"LoanAssumptions"}</definedName>
    <definedName name="saddddddddddd2" localSheetId="12" hidden="1">{#N/A,#N/A,FALSE,"OperatingAssumptions"}</definedName>
    <definedName name="saddddddddddd2" localSheetId="13" hidden="1">{#N/A,#N/A,FALSE,"OperatingAssumptions"}</definedName>
    <definedName name="saddddddddddd2" localSheetId="14" hidden="1">{#N/A,#N/A,FALSE,"OperatingAssumptions"}</definedName>
    <definedName name="saddddddddddd2" localSheetId="15" hidden="1">{#N/A,#N/A,FALSE,"OperatingAssumptions"}</definedName>
    <definedName name="saddddddddddd2" localSheetId="0" hidden="1">{#N/A,#N/A,FALSE,"OperatingAssumptions"}</definedName>
    <definedName name="saddddddddddd2" hidden="1">{#N/A,#N/A,FALSE,"OperatingAssumptions"}</definedName>
    <definedName name="saddddddddddddd" localSheetId="12" hidden="1">{#N/A,#N/A,FALSE,"OperatingAssumptions"}</definedName>
    <definedName name="saddddddddddddd" localSheetId="13" hidden="1">{#N/A,#N/A,FALSE,"OperatingAssumptions"}</definedName>
    <definedName name="saddddddddddddd" localSheetId="14" hidden="1">{#N/A,#N/A,FALSE,"OperatingAssumptions"}</definedName>
    <definedName name="saddddddddddddd" localSheetId="15" hidden="1">{#N/A,#N/A,FALSE,"OperatingAssumptions"}</definedName>
    <definedName name="saddddddddddddd" localSheetId="0" hidden="1">{#N/A,#N/A,FALSE,"OperatingAssumptions"}</definedName>
    <definedName name="saddddddddddddd" hidden="1">{#N/A,#N/A,FALSE,"OperatingAssumptions"}</definedName>
    <definedName name="solver_typ" localSheetId="7" hidden="1">2</definedName>
    <definedName name="solver_typ" localSheetId="8" hidden="1">2</definedName>
    <definedName name="solver_typ" localSheetId="11" hidden="1">2</definedName>
    <definedName name="solver_ver" localSheetId="7" hidden="1">10</definedName>
    <definedName name="solver_ver" localSheetId="8" hidden="1">10</definedName>
    <definedName name="solver_ver" localSheetId="11" hidden="1">10</definedName>
    <definedName name="Values_Entered" localSheetId="1">IF(Loan_Amount*Interest_Rate*Loan_Years*Loan_Start&gt;0,1,0)</definedName>
    <definedName name="Values_Entered" localSheetId="12">IF('11. Partnership Structure 1'!Loan_Amount*'11. Partnership Structure 1'!Interest_Rate*'11. Partnership Structure 1'!Loan_Years*'11. Partnership Structure 1'!Loan_Start&gt;0,1,0)</definedName>
    <definedName name="Values_Entered" localSheetId="13">IF('12. Partnership Structure 2'!Loan_Amount*'12. Partnership Structure 2'!Interest_Rate*'12. Partnership Structure 2'!Loan_Years*'12. Partnership Structure 2'!Loan_Start&gt;0,1,0)</definedName>
    <definedName name="Values_Entered" localSheetId="14">IF('13. Partnership Structure 3'!Loan_Amount*'13. Partnership Structure 3'!Interest_Rate*'13. Partnership Structure 3'!Loan_Years*'13. Partnership Structure 3'!Loan_Start&gt;0,1,0)</definedName>
    <definedName name="Values_Entered" localSheetId="15">IF([0]!Loan_Amount*[0]!Interest_Rate*[0]!Loan_Years*[0]!Loan_Start&gt;0,1,0)</definedName>
    <definedName name="Values_Entered" localSheetId="0">IF(Loan_Amount*Interest_Rate*Loan_Years*Loan_Start&gt;0,1,0)</definedName>
    <definedName name="Values_Entered">IF(Loan_Amount*Interest_Rate*Loan_Years*Loan_Start&gt;0,1,0)</definedName>
    <definedName name="what_asdf2" localSheetId="12" hidden="1">{#N/A,#N/A,FALSE,"OperatingAssumptions"}</definedName>
    <definedName name="what_asdf2" localSheetId="13" hidden="1">{#N/A,#N/A,FALSE,"OperatingAssumptions"}</definedName>
    <definedName name="what_asdf2" localSheetId="14" hidden="1">{#N/A,#N/A,FALSE,"OperatingAssumptions"}</definedName>
    <definedName name="what_asdf2" localSheetId="15" hidden="1">{#N/A,#N/A,FALSE,"OperatingAssumptions"}</definedName>
    <definedName name="what_asdf2" localSheetId="0" hidden="1">{#N/A,#N/A,FALSE,"OperatingAssumptions"}</definedName>
    <definedName name="what_asdf2" hidden="1">{#N/A,#N/A,FALSE,"OperatingAssumptions"}</definedName>
    <definedName name="wrn.2" localSheetId="12"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2" localSheetId="13"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2" localSheetId="14"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2" localSheetId="15"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2" localSheetId="0"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2"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AnnualRentRoll" localSheetId="12" hidden="1">{"AnnualRentRoll",#N/A,FALSE,"RentRoll"}</definedName>
    <definedName name="wrn.AnnualRentRoll" localSheetId="13" hidden="1">{"AnnualRentRoll",#N/A,FALSE,"RentRoll"}</definedName>
    <definedName name="wrn.AnnualRentRoll" localSheetId="14" hidden="1">{"AnnualRentRoll",#N/A,FALSE,"RentRoll"}</definedName>
    <definedName name="wrn.AnnualRentRoll" localSheetId="15" hidden="1">{"AnnualRentRoll",#N/A,FALSE,"RentRoll"}</definedName>
    <definedName name="wrn.AnnualRentRoll" localSheetId="0" hidden="1">{"AnnualRentRoll",#N/A,FALSE,"RentRoll"}</definedName>
    <definedName name="wrn.AnnualRentRoll" hidden="1">{"AnnualRentRoll",#N/A,FALSE,"RentRoll"}</definedName>
    <definedName name="wrn.AnnualRentRoll." localSheetId="12" hidden="1">{"AnnualRentRoll",#N/A,FALSE,"RentRoll"}</definedName>
    <definedName name="wrn.AnnualRentRoll." localSheetId="13" hidden="1">{"AnnualRentRoll",#N/A,FALSE,"RentRoll"}</definedName>
    <definedName name="wrn.AnnualRentRoll." localSheetId="14" hidden="1">{"AnnualRentRoll",#N/A,FALSE,"RentRoll"}</definedName>
    <definedName name="wrn.AnnualRentRoll." localSheetId="15" hidden="1">{"AnnualRentRoll",#N/A,FALSE,"RentRoll"}</definedName>
    <definedName name="wrn.AnnualRentRoll." localSheetId="0" hidden="1">{"AnnualRentRoll",#N/A,FALSE,"RentRoll"}</definedName>
    <definedName name="wrn.AnnualRentRoll." hidden="1">{"AnnualRentRoll",#N/A,FALSE,"RentRoll"}</definedName>
    <definedName name="wrn.annualrentroll2" localSheetId="12" hidden="1">{"AnnualRentRoll",#N/A,FALSE,"RentRoll"}</definedName>
    <definedName name="wrn.annualrentroll2" localSheetId="13" hidden="1">{"AnnualRentRoll",#N/A,FALSE,"RentRoll"}</definedName>
    <definedName name="wrn.annualrentroll2" localSheetId="14" hidden="1">{"AnnualRentRoll",#N/A,FALSE,"RentRoll"}</definedName>
    <definedName name="wrn.annualrentroll2" localSheetId="15" hidden="1">{"AnnualRentRoll",#N/A,FALSE,"RentRoll"}</definedName>
    <definedName name="wrn.annualrentroll2" localSheetId="0" hidden="1">{"AnnualRentRoll",#N/A,FALSE,"RentRoll"}</definedName>
    <definedName name="wrn.annualrentroll2" hidden="1">{"AnnualRentRoll",#N/A,FALSE,"RentRoll"}</definedName>
    <definedName name="wrn.CF._.Print." localSheetId="12"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_.Print." localSheetId="13"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_.Print." localSheetId="14"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_.Print." localSheetId="15"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_.Print." localSheetId="0"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CF._.Print." hidden="1">{#N/A,#N/A,FALSE,"Cash Flow";#N/A,#N/A,FALSE,"FFO";#N/A,#N/A,FALSE,"Dvlpt Assumptions";#N/A,#N/A,FALSE,"Equity &amp; Constr Financing";#N/A,#N/A,FALSE,"JV Fee Analysis - cash";#N/A,#N/A,FALSE,"JV Fee Analysis - GAAP";#N/A,#N/A,FALSE,"Prop CF Adj";#N/A,#N/A,FALSE,"Land Sales";#N/A,#N/A,FALSE,"Capex, existing";#N/A,#N/A,FALSE,"Capex,97 Budget";#N/A,#N/A,FALSE,"Capex, dvlpt";#N/A,#N/A,FALSE,"Cap overhead";#N/A,#N/A,FALSE,"Project Equity";#N/A,#N/A,FALSE,"Leasing Fees";#N/A,#N/A,FALSE,"Debt";#N/A,#N/A,FALSE,"Capitalized Interest";#N/A,#N/A,FALSE,"FF&amp; E Loan";#N/A,#N/A,FALSE,"Strip loan";#N/A,#N/A,FALSE,"Franklin Loan";#N/A,#N/A,FALSE,"Poto_Gurn Amortiz";#N/A,#N/A,FALSE,"Dividend Distr";#N/A,#N/A,FALSE,"Investment in Partnerships";#N/A,#N/A,FALSE,"JV Ops Cash Flow Adj.";#N/A,#N/A,FALSE,"Ontario";#N/A,#N/A,FALSE,"Ontario-Proj";#N/A,#N/A,FALSE,"Ont Debt";#N/A,#N/A,FALSE,"Grapevine";#N/A,#N/A,FALSE,"Grapevine-Proj";#N/A,#N/A,FALSE,"Arizona";#N/A,#N/A,FALSE,"Arizona - Proj";#N/A,#N/A,FALSE,"Sawgrass Ph III";#N/A,#N/A,FALSE,"Saw Phase III-Proj";#N/A,#N/A,FALSE,"City Center";#N/A,#N/A,FALSE,"City Center-Proj";#N/A,#N/A,FALSE,"Columbus";#N/A,#N/A,FALSE,"Columbus-Proj";#N/A,#N/A,FALSE,"Atlanta";#N/A,#N/A,FALSE,"Atlanta-Proj";#N/A,#N/A,FALSE,"Monee";#N/A,#N/A,FALSE,"Monee-Proj";#N/A,#N/A,FALSE,"Houston";#N/A,#N/A,FALSE,"Houston-Proj";#N/A,#N/A,FALSE,"San Francisco";#N/A,#N/A,FALSE,"San Francisco-Proj";#N/A,#N/A,FALSE,"Meadowlands";#N/A,#N/A,FALSE,"Meadowlands-Proj";#N/A,#N/A,FALSE,"Toronto";#N/A,#N/A,FALSE,"Toronto-Proj"}</definedName>
    <definedName name="wrn.ExitAndSalesAssumptions." localSheetId="12" hidden="1">{#N/A,#N/A,FALSE,"ExitStratigy"}</definedName>
    <definedName name="wrn.ExitAndSalesAssumptions." localSheetId="13" hidden="1">{#N/A,#N/A,FALSE,"ExitStratigy"}</definedName>
    <definedName name="wrn.ExitAndSalesAssumptions." localSheetId="14" hidden="1">{#N/A,#N/A,FALSE,"ExitStratigy"}</definedName>
    <definedName name="wrn.ExitAndSalesAssumptions." localSheetId="15" hidden="1">{#N/A,#N/A,FALSE,"ExitStratigy"}</definedName>
    <definedName name="wrn.ExitAndSalesAssumptions." localSheetId="0" hidden="1">{#N/A,#N/A,FALSE,"ExitStratigy"}</definedName>
    <definedName name="wrn.ExitAndSalesAssumptions." hidden="1">{#N/A,#N/A,FALSE,"ExitStratigy"}</definedName>
    <definedName name="wrn.FCG." localSheetId="12"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CG." localSheetId="13"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CG." localSheetId="14"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CG." localSheetId="15"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CG." localSheetId="0"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CG." hidden="1">{#N/A,#N/A,TRUE,"Title Page";#N/A,#N/A,TRUE,"Executive Summary";#N/A,#N/A,TRUE,"Cash Flow";#N/A,#N/A,TRUE,"Exp Detail";#N/A,#N/A,TRUE,"Pricing Matrix";#N/A,#N/A,TRUE,"Value Matrix";#N/A,#N/A,TRUE,"Assumptions";#N/A,#N/A,TRUE,"Vacant Space";#N/A,#N/A,TRUE,"2nd Generation";#N/A,#N/A,TRUE,"Existing vs Mkt";#N/A,#N/A,TRUE,"Expiration Schedule";#N/A,#N/A,TRUE,"Expiration Graph ";#N/A,#N/A,TRUE,"Residual - Marketing";#N/A,#N/A,TRUE,"Vacancy Detail"}</definedName>
    <definedName name="wrn.Full_Template." localSheetId="12"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Full_Template." localSheetId="13"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Full_Template." localSheetId="14"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Full_Template." localSheetId="15"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Full_Template." localSheetId="0"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Full_Template."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Schedule";#N/A,#N/A,FALSE,"13Residual 2007";#N/A,#N/A,FALSE,"14Residual 2008";#N/A,#N/A,FALSE,"15Residual 2009";#N/A,#N/A,FALSE,"16Residual 2010";#N/A,#N/A,FALSE,"17Residual 2011";#N/A,#N/A,FALSE,"18Hold Disposition Matrix";#N/A,#N/A,FALSE,"19Other Disposition Matrix"}</definedName>
    <definedName name="wrn.Hold._.Sell." localSheetId="12" hidden="1">{#N/A,#N/A,FALSE,"13Residual 2007";#N/A,#N/A,FALSE,"14Residual 2008";#N/A,#N/A,FALSE,"15Residual 2009";#N/A,#N/A,FALSE,"16Residual 2010";#N/A,#N/A,FALSE,"17Residual 2011";#N/A,#N/A,FALSE,"18Hold Disposition Matrix";#N/A,#N/A,FALSE,"19Other Disposition Matrix"}</definedName>
    <definedName name="wrn.Hold._.Sell." localSheetId="13" hidden="1">{#N/A,#N/A,FALSE,"13Residual 2007";#N/A,#N/A,FALSE,"14Residual 2008";#N/A,#N/A,FALSE,"15Residual 2009";#N/A,#N/A,FALSE,"16Residual 2010";#N/A,#N/A,FALSE,"17Residual 2011";#N/A,#N/A,FALSE,"18Hold Disposition Matrix";#N/A,#N/A,FALSE,"19Other Disposition Matrix"}</definedName>
    <definedName name="wrn.Hold._.Sell." localSheetId="14" hidden="1">{#N/A,#N/A,FALSE,"13Residual 2007";#N/A,#N/A,FALSE,"14Residual 2008";#N/A,#N/A,FALSE,"15Residual 2009";#N/A,#N/A,FALSE,"16Residual 2010";#N/A,#N/A,FALSE,"17Residual 2011";#N/A,#N/A,FALSE,"18Hold Disposition Matrix";#N/A,#N/A,FALSE,"19Other Disposition Matrix"}</definedName>
    <definedName name="wrn.Hold._.Sell." localSheetId="15" hidden="1">{#N/A,#N/A,FALSE,"13Residual 2007";#N/A,#N/A,FALSE,"14Residual 2008";#N/A,#N/A,FALSE,"15Residual 2009";#N/A,#N/A,FALSE,"16Residual 2010";#N/A,#N/A,FALSE,"17Residual 2011";#N/A,#N/A,FALSE,"18Hold Disposition Matrix";#N/A,#N/A,FALSE,"19Other Disposition Matrix"}</definedName>
    <definedName name="wrn.Hold._.Sell." localSheetId="0" hidden="1">{#N/A,#N/A,FALSE,"13Residual 2007";#N/A,#N/A,FALSE,"14Residual 2008";#N/A,#N/A,FALSE,"15Residual 2009";#N/A,#N/A,FALSE,"16Residual 2010";#N/A,#N/A,FALSE,"17Residual 2011";#N/A,#N/A,FALSE,"18Hold Disposition Matrix";#N/A,#N/A,FALSE,"19Other Disposition Matrix"}</definedName>
    <definedName name="wrn.Hold._.Sell." hidden="1">{#N/A,#N/A,FALSE,"13Residual 2007";#N/A,#N/A,FALSE,"14Residual 2008";#N/A,#N/A,FALSE,"15Residual 2009";#N/A,#N/A,FALSE,"16Residual 2010";#N/A,#N/A,FALSE,"17Residual 2011";#N/A,#N/A,FALSE,"18Hold Disposition Matrix";#N/A,#N/A,FALSE,"19Other Disposition Matrix"}</definedName>
    <definedName name="wrn.Leasing._.Variance." localSheetId="12" hidden="1">{#N/A,#N/A,FALSE,"Leasing 6A"}</definedName>
    <definedName name="wrn.Leasing._.Variance." localSheetId="13" hidden="1">{#N/A,#N/A,FALSE,"Leasing 6A"}</definedName>
    <definedName name="wrn.Leasing._.Variance." localSheetId="14" hidden="1">{#N/A,#N/A,FALSE,"Leasing 6A"}</definedName>
    <definedName name="wrn.Leasing._.Variance." localSheetId="15" hidden="1">{#N/A,#N/A,FALSE,"Leasing 6A"}</definedName>
    <definedName name="wrn.Leasing._.Variance." localSheetId="0" hidden="1">{#N/A,#N/A,FALSE,"Leasing 6A"}</definedName>
    <definedName name="wrn.Leasing._.Variance." hidden="1">{#N/A,#N/A,FALSE,"Leasing 6A"}</definedName>
    <definedName name="wrn.LoanInformation." localSheetId="12" hidden="1">{#N/A,#N/A,FALSE,"LoanAssumptions"}</definedName>
    <definedName name="wrn.LoanInformation." localSheetId="13" hidden="1">{#N/A,#N/A,FALSE,"LoanAssumptions"}</definedName>
    <definedName name="wrn.LoanInformation." localSheetId="14" hidden="1">{#N/A,#N/A,FALSE,"LoanAssumptions"}</definedName>
    <definedName name="wrn.LoanInformation." localSheetId="15" hidden="1">{#N/A,#N/A,FALSE,"LoanAssumptions"}</definedName>
    <definedName name="wrn.LoanInformation." localSheetId="0" hidden="1">{#N/A,#N/A,FALSE,"LoanAssumptions"}</definedName>
    <definedName name="wrn.LoanInformation." hidden="1">{#N/A,#N/A,FALSE,"LoanAssumptions"}</definedName>
    <definedName name="wrn.Marketing." localSheetId="12" hidden="1">{#N/A,#N/A,FALSE,"2Assumptions";#N/A,#N/A,FALSE,"3Cash Flow";#N/A,#N/A,FALSE,"I&amp;E";#N/A,#N/A,FALSE,"I&amp;E (2)";#N/A,#N/A,FALSE,"10Vacancy Matrix";#N/A,#N/A,FALSE,"11Expiration Schedule"}</definedName>
    <definedName name="wrn.Marketing." localSheetId="13" hidden="1">{#N/A,#N/A,FALSE,"2Assumptions";#N/A,#N/A,FALSE,"3Cash Flow";#N/A,#N/A,FALSE,"I&amp;E";#N/A,#N/A,FALSE,"I&amp;E (2)";#N/A,#N/A,FALSE,"10Vacancy Matrix";#N/A,#N/A,FALSE,"11Expiration Schedule"}</definedName>
    <definedName name="wrn.Marketing." localSheetId="14" hidden="1">{#N/A,#N/A,FALSE,"2Assumptions";#N/A,#N/A,FALSE,"3Cash Flow";#N/A,#N/A,FALSE,"I&amp;E";#N/A,#N/A,FALSE,"I&amp;E (2)";#N/A,#N/A,FALSE,"10Vacancy Matrix";#N/A,#N/A,FALSE,"11Expiration Schedule"}</definedName>
    <definedName name="wrn.Marketing." localSheetId="15" hidden="1">{#N/A,#N/A,FALSE,"2Assumptions";#N/A,#N/A,FALSE,"3Cash Flow";#N/A,#N/A,FALSE,"I&amp;E";#N/A,#N/A,FALSE,"I&amp;E (2)";#N/A,#N/A,FALSE,"10Vacancy Matrix";#N/A,#N/A,FALSE,"11Expiration Schedule"}</definedName>
    <definedName name="wrn.Marketing." localSheetId="0" hidden="1">{#N/A,#N/A,FALSE,"2Assumptions";#N/A,#N/A,FALSE,"3Cash Flow";#N/A,#N/A,FALSE,"I&amp;E";#N/A,#N/A,FALSE,"I&amp;E (2)";#N/A,#N/A,FALSE,"10Vacancy Matrix";#N/A,#N/A,FALSE,"11Expiration Schedule"}</definedName>
    <definedName name="wrn.Marketing." hidden="1">{#N/A,#N/A,FALSE,"2Assumptions";#N/A,#N/A,FALSE,"3Cash Flow";#N/A,#N/A,FALSE,"I&amp;E";#N/A,#N/A,FALSE,"I&amp;E (2)";#N/A,#N/A,FALSE,"10Vacancy Matrix";#N/A,#N/A,FALSE,"11Expiration Schedule"}</definedName>
    <definedName name="wrn.monthly._.financial." localSheetId="12" hidden="1">{#N/A,#N/A,FALSE,"SUMMARY 4a";#N/A,#N/A,FALSE,"GBA 4b";#N/A,#N/A,FALSE,"TENANT 4c";#N/A,#N/A,FALSE,"BUDGET DETAIL";#N/A,#N/A,FALSE,"PRO FORMA"}</definedName>
    <definedName name="wrn.monthly._.financial." localSheetId="13" hidden="1">{#N/A,#N/A,FALSE,"SUMMARY 4a";#N/A,#N/A,FALSE,"GBA 4b";#N/A,#N/A,FALSE,"TENANT 4c";#N/A,#N/A,FALSE,"BUDGET DETAIL";#N/A,#N/A,FALSE,"PRO FORMA"}</definedName>
    <definedName name="wrn.monthly._.financial." localSheetId="14" hidden="1">{#N/A,#N/A,FALSE,"SUMMARY 4a";#N/A,#N/A,FALSE,"GBA 4b";#N/A,#N/A,FALSE,"TENANT 4c";#N/A,#N/A,FALSE,"BUDGET DETAIL";#N/A,#N/A,FALSE,"PRO FORMA"}</definedName>
    <definedName name="wrn.monthly._.financial." localSheetId="15" hidden="1">{#N/A,#N/A,FALSE,"SUMMARY 4a";#N/A,#N/A,FALSE,"GBA 4b";#N/A,#N/A,FALSE,"TENANT 4c";#N/A,#N/A,FALSE,"BUDGET DETAIL";#N/A,#N/A,FALSE,"PRO FORMA"}</definedName>
    <definedName name="wrn.monthly._.financial." localSheetId="0" hidden="1">{#N/A,#N/A,FALSE,"SUMMARY 4a";#N/A,#N/A,FALSE,"GBA 4b";#N/A,#N/A,FALSE,"TENANT 4c";#N/A,#N/A,FALSE,"BUDGET DETAIL";#N/A,#N/A,FALSE,"PRO FORMA"}</definedName>
    <definedName name="wrn.monthly._.financial." hidden="1">{#N/A,#N/A,FALSE,"SUMMARY 4a";#N/A,#N/A,FALSE,"GBA 4b";#N/A,#N/A,FALSE,"TENANT 4c";#N/A,#N/A,FALSE,"BUDGET DETAIL";#N/A,#N/A,FALSE,"PRO FORMA"}</definedName>
    <definedName name="wrn.MonthlyRentRoll." localSheetId="12" hidden="1">{"MonthlyRentRoll",#N/A,FALSE,"RentRoll"}</definedName>
    <definedName name="wrn.MonthlyRentRoll." localSheetId="13" hidden="1">{"MonthlyRentRoll",#N/A,FALSE,"RentRoll"}</definedName>
    <definedName name="wrn.MonthlyRentRoll." localSheetId="14" hidden="1">{"MonthlyRentRoll",#N/A,FALSE,"RentRoll"}</definedName>
    <definedName name="wrn.MonthlyRentRoll." localSheetId="15" hidden="1">{"MonthlyRentRoll",#N/A,FALSE,"RentRoll"}</definedName>
    <definedName name="wrn.MonthlyRentRoll." localSheetId="0" hidden="1">{"MonthlyRentRoll",#N/A,FALSE,"RentRoll"}</definedName>
    <definedName name="wrn.MonthlyRentRoll." hidden="1">{"MonthlyRentRoll",#N/A,FALSE,"RentRoll"}</definedName>
    <definedName name="wrn.ontario." localSheetId="12" hidden="1">{"page1",#N/A,FALSE,"sheet 1";"Page2",#N/A,FALSE,"sheet 1";"page3",#N/A,FALSE,"sheet 1";"page4",#N/A,FALSE,"sheet 1"}</definedName>
    <definedName name="wrn.ontario." localSheetId="13" hidden="1">{"page1",#N/A,FALSE,"sheet 1";"Page2",#N/A,FALSE,"sheet 1";"page3",#N/A,FALSE,"sheet 1";"page4",#N/A,FALSE,"sheet 1"}</definedName>
    <definedName name="wrn.ontario." localSheetId="14" hidden="1">{"page1",#N/A,FALSE,"sheet 1";"Page2",#N/A,FALSE,"sheet 1";"page3",#N/A,FALSE,"sheet 1";"page4",#N/A,FALSE,"sheet 1"}</definedName>
    <definedName name="wrn.ontario." localSheetId="15" hidden="1">{"page1",#N/A,FALSE,"sheet 1";"Page2",#N/A,FALSE,"sheet 1";"page3",#N/A,FALSE,"sheet 1";"page4",#N/A,FALSE,"sheet 1"}</definedName>
    <definedName name="wrn.ontario." localSheetId="0" hidden="1">{"page1",#N/A,FALSE,"sheet 1";"Page2",#N/A,FALSE,"sheet 1";"page3",#N/A,FALSE,"sheet 1";"page4",#N/A,FALSE,"sheet 1"}</definedName>
    <definedName name="wrn.ontario." hidden="1">{"page1",#N/A,FALSE,"sheet 1";"Page2",#N/A,FALSE,"sheet 1";"page3",#N/A,FALSE,"sheet 1";"page4",#N/A,FALSE,"sheet 1"}</definedName>
    <definedName name="wrn.OperatingAssumtions." localSheetId="12" hidden="1">{#N/A,#N/A,FALSE,"OperatingAssumptions"}</definedName>
    <definedName name="wrn.OperatingAssumtions." localSheetId="13" hidden="1">{#N/A,#N/A,FALSE,"OperatingAssumptions"}</definedName>
    <definedName name="wrn.OperatingAssumtions." localSheetId="14" hidden="1">{#N/A,#N/A,FALSE,"OperatingAssumptions"}</definedName>
    <definedName name="wrn.OperatingAssumtions." localSheetId="15" hidden="1">{#N/A,#N/A,FALSE,"OperatingAssumptions"}</definedName>
    <definedName name="wrn.OperatingAssumtions." localSheetId="0" hidden="1">{#N/A,#N/A,FALSE,"OperatingAssumptions"}</definedName>
    <definedName name="wrn.OperatingAssumtions." hidden="1">{#N/A,#N/A,FALSE,"OperatingAssumptions"}</definedName>
    <definedName name="wrn.p3" localSheetId="12"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3" localSheetId="13"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3" localSheetId="14"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3" localSheetId="15"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3" localSheetId="0"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3"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ackage." localSheetId="12"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ckage." localSheetId="13"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ckage." localSheetId="14"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ckage." localSheetId="15"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ckage." localSheetId="0"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ckage." hidden="1">{#N/A,#N/A,FALSE,"Executive Summary";#N/A,#N/A,FALSE,"Assumptions";#N/A,#N/A,FALSE,"Cash Flow";#N/A,#N/A,FALSE,"I&amp;E ";#N/A,#N/A,FALSE,"Occupancy Cost";#N/A,#N/A,FALSE,"Vacancy (Mall)";#N/A,#N/A,FALSE,"Expiration Schedule";#N/A,#N/A,FALSE,"Expiration Graph ";#N/A,#N/A,FALSE,"sales graph";#N/A,#N/A,FALSE,"Vacant rents";#N/A,#N/A,FALSE,"Hist Sales";#N/A,#N/A,FALSE,"Monthly Sales";#N/A,#N/A,FALSE,"Rent Roll"}</definedName>
    <definedName name="wrn.Partial." localSheetId="12"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artial." localSheetId="13"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artial." localSheetId="14"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artial." localSheetId="15"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artial." localSheetId="0"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artial." hidden="1">{#N/A,#N/A,FALSE,"Assumptions";#N/A,#N/A,FALSE,"Year One Pro Forma";#N/A,#N/A,FALSE,"Rent Roll Summary";#N/A,#N/A,FALSE,"Market Rent Detail";#N/A,#N/A,FALSE,"Rent Roll Summary";#N/A,#N/A,FALSE,"Market Rent Increases";#N/A,#N/A,FALSE,"Exec Sum 10Yr";#N/A,#N/A,FALSE,"Cash Flow Projections";#N/A,#N/A,FALSE,"Net Residual Value";#N/A,#N/A,FALSE,"Effective Rental Income Detail";#N/A,#N/A,FALSE,"Turnovers";#N/A,#N/A,FALSE,"Matrices"}</definedName>
    <definedName name="wrn.PR_TRIAL_BALANCE." localSheetId="12"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_TRIAL_BALANCE." localSheetId="13"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_TRIAL_BALANCE." localSheetId="14"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_TRIAL_BALANCE." localSheetId="15"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_TRIAL_BALANCE." localSheetId="0"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_TRIAL_BALANCE." hidden="1">{"TB_PR","50",FALSE,"PR_TRIAL_BALANCE";"TB_PR","51",FALSE,"PR_TRIAL_BALANCE";"TB_PR","52",FALSE,"PR_TRIAL_BALANCE";"TB_PR","53",FALSE,"PR_TRIAL_BALANCE";"TB_PR","54",FALSE,"PR_TRIAL_BALANCE";"TB_PR","55",FALSE,"PR_TRIAL_BALANCE";"TB_PR","56",FALSE,"PR_TRIAL_BALANCE";"TB_PR","57",FALSE,"PR_TRIAL_BALANCE";"TB_PR","61",FALSE,"PR_TRIAL_BALANCE";"TB_PR","63",FALSE,"PR_TRIAL_BALANCE";"TB_PR","65",FALSE,"PR_TRIAL_BALANCE";"TB_PR","66",FALSE,"PR_TRIAL_BALANCE"}</definedName>
    <definedName name="wrn.Presentation." localSheetId="12" hidden="1">{#N/A,#N/A,TRUE,"Summary";"AnnualRentRoll",#N/A,TRUE,"RentRoll";#N/A,#N/A,TRUE,"ExitStratigy";#N/A,#N/A,TRUE,"OperatingAssumptions"}</definedName>
    <definedName name="wrn.Presentation." localSheetId="13" hidden="1">{#N/A,#N/A,TRUE,"Summary";"AnnualRentRoll",#N/A,TRUE,"RentRoll";#N/A,#N/A,TRUE,"ExitStratigy";#N/A,#N/A,TRUE,"OperatingAssumptions"}</definedName>
    <definedName name="wrn.Presentation." localSheetId="14" hidden="1">{#N/A,#N/A,TRUE,"Summary";"AnnualRentRoll",#N/A,TRUE,"RentRoll";#N/A,#N/A,TRUE,"ExitStratigy";#N/A,#N/A,TRUE,"OperatingAssumptions"}</definedName>
    <definedName name="wrn.Presentation." localSheetId="15" hidden="1">{#N/A,#N/A,TRUE,"Summary";"AnnualRentRoll",#N/A,TRUE,"RentRoll";#N/A,#N/A,TRUE,"ExitStratigy";#N/A,#N/A,TRUE,"OperatingAssumptions"}</definedName>
    <definedName name="wrn.Presentation." localSheetId="0" hidden="1">{#N/A,#N/A,TRUE,"Summary";"AnnualRentRoll",#N/A,TRUE,"RentRoll";#N/A,#N/A,TRUE,"ExitStratigy";#N/A,#N/A,TRUE,"OperatingAssumptions"}</definedName>
    <definedName name="wrn.Presentation." hidden="1">{#N/A,#N/A,TRUE,"Summary";"AnnualRentRoll",#N/A,TRUE,"RentRoll";#N/A,#N/A,TRUE,"ExitStratigy";#N/A,#N/A,TRUE,"OperatingAssumptions"}</definedName>
    <definedName name="wrn.Pricing._.Strategy." localSheetId="12"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cing._.Strategy." localSheetId="13"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cing._.Strategy." localSheetId="14"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cing._.Strategy." localSheetId="15"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cing._.Strategy." localSheetId="0"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cing._.Strategy." hidden="1">{#N/A,#N/A,FALSE,"1Summary";#N/A,#N/A,FALSE,"2Assumptions";#N/A,#N/A,FALSE,"3Cash Flow";#N/A,#N/A,FALSE,"4Year 1 Reconciliation";#N/A,#N/A,FALSE,"5Residual";#N/A,#N/A,FALSE,"6Residual (Year 20)";#N/A,#N/A,FALSE,"7Financing Sensitivity";#N/A,#N/A,FALSE,"8Residual Sensitivity";#N/A,#N/A,FALSE,"9Pricing Matrix";#N/A,#N/A,FALSE,"10Vacancy Matrix";#N/A,#N/A,FALSE,"11Expiration Schedule";#N/A,#N/A,FALSE,"12Lease-up Schedule"}</definedName>
    <definedName name="wrn.Print." localSheetId="12" hidden="1">{#N/A,#N/A,TRUE,"Cover";#N/A,#N/A,TRUE,"Stack";#N/A,#N/A,TRUE,"Cost S";#N/A,#N/A,TRUE,"Financing";#N/A,#N/A,TRUE," CF";#N/A,#N/A,TRUE,"CF Mnthly";#N/A,#N/A,TRUE,"CF assum";#N/A,#N/A,TRUE,"Unit Sales";#N/A,#N/A,TRUE,"REV";#N/A,#N/A,TRUE,"Bdgt Backup"}</definedName>
    <definedName name="wrn.Print." localSheetId="13" hidden="1">{#N/A,#N/A,TRUE,"Cover";#N/A,#N/A,TRUE,"Stack";#N/A,#N/A,TRUE,"Cost S";#N/A,#N/A,TRUE,"Financing";#N/A,#N/A,TRUE," CF";#N/A,#N/A,TRUE,"CF Mnthly";#N/A,#N/A,TRUE,"CF assum";#N/A,#N/A,TRUE,"Unit Sales";#N/A,#N/A,TRUE,"REV";#N/A,#N/A,TRUE,"Bdgt Backup"}</definedName>
    <definedName name="wrn.Print." localSheetId="14" hidden="1">{#N/A,#N/A,TRUE,"Cover";#N/A,#N/A,TRUE,"Stack";#N/A,#N/A,TRUE,"Cost S";#N/A,#N/A,TRUE,"Financing";#N/A,#N/A,TRUE," CF";#N/A,#N/A,TRUE,"CF Mnthly";#N/A,#N/A,TRUE,"CF assum";#N/A,#N/A,TRUE,"Unit Sales";#N/A,#N/A,TRUE,"REV";#N/A,#N/A,TRUE,"Bdgt Backup"}</definedName>
    <definedName name="wrn.Print." localSheetId="15" hidden="1">{#N/A,#N/A,TRUE,"Cover";#N/A,#N/A,TRUE,"Stack";#N/A,#N/A,TRUE,"Cost S";#N/A,#N/A,TRUE,"Financing";#N/A,#N/A,TRUE," CF";#N/A,#N/A,TRUE,"CF Mnthly";#N/A,#N/A,TRUE,"CF assum";#N/A,#N/A,TRUE,"Unit Sales";#N/A,#N/A,TRUE,"REV";#N/A,#N/A,TRUE,"Bdgt Backup"}</definedName>
    <definedName name="wrn.Print." localSheetId="7" hidden="1">{#N/A,#N/A,TRUE,"Cover";#N/A,#N/A,TRUE,"Stack";#N/A,#N/A,TRUE,"Cost S";#N/A,#N/A,TRUE,"Financing";#N/A,#N/A,TRUE," CF";#N/A,#N/A,TRUE,"CF Mnthly";#N/A,#N/A,TRUE,"CF assum";#N/A,#N/A,TRUE,"Unit Sales";#N/A,#N/A,TRUE,"REV";#N/A,#N/A,TRUE,"Bdgt Backup"}</definedName>
    <definedName name="wrn.Print." localSheetId="8" hidden="1">{#N/A,#N/A,TRUE,"Cover";#N/A,#N/A,TRUE,"Stack";#N/A,#N/A,TRUE,"Cost S";#N/A,#N/A,TRUE,"Financing";#N/A,#N/A,TRUE," CF";#N/A,#N/A,TRUE,"CF Mnthly";#N/A,#N/A,TRUE,"CF assum";#N/A,#N/A,TRUE,"Unit Sales";#N/A,#N/A,TRUE,"REV";#N/A,#N/A,TRUE,"Bdgt Backup"}</definedName>
    <definedName name="wrn.Print." localSheetId="9" hidden="1">{#N/A,#N/A,TRUE,"Cover";#N/A,#N/A,TRUE,"Stack";#N/A,#N/A,TRUE,"Cost S";#N/A,#N/A,TRUE,"Financing";#N/A,#N/A,TRUE," CF";#N/A,#N/A,TRUE,"CF Mnthly";#N/A,#N/A,TRUE,"CF assum";#N/A,#N/A,TRUE,"Unit Sales";#N/A,#N/A,TRUE,"REV";#N/A,#N/A,TRUE,"Bdgt Backup"}</definedName>
    <definedName name="wrn.Print." localSheetId="11" hidden="1">{#N/A,#N/A,TRUE,"Cover";#N/A,#N/A,TRUE,"Stack";#N/A,#N/A,TRUE,"Cost S";#N/A,#N/A,TRUE,"Financing";#N/A,#N/A,TRUE," CF";#N/A,#N/A,TRUE,"CF Mnthly";#N/A,#N/A,TRUE,"CF assum";#N/A,#N/A,TRUE,"Unit Sales";#N/A,#N/A,TRUE,"REV";#N/A,#N/A,TRUE,"Bdgt Backup"}</definedName>
    <definedName name="wrn.Print." localSheetId="0" hidden="1">{#N/A,#N/A,TRUE,"Cover";#N/A,#N/A,TRUE,"Stack";#N/A,#N/A,TRUE,"Cost S";#N/A,#N/A,TRUE,"Financing";#N/A,#N/A,TRUE," CF";#N/A,#N/A,TRUE,"CF Mnthly";#N/A,#N/A,TRUE,"CF assum";#N/A,#N/A,TRUE,"Unit Sales";#N/A,#N/A,TRUE,"REV";#N/A,#N/A,TRUE,"Bdgt Backup"}</definedName>
    <definedName name="wrn.Print." hidden="1">{#N/A,#N/A,TRUE,"Cover";#N/A,#N/A,TRUE,"Stack";#N/A,#N/A,TRUE,"Cost S";#N/A,#N/A,TRUE,"Financing";#N/A,#N/A,TRUE," CF";#N/A,#N/A,TRUE,"CF Mnthly";#N/A,#N/A,TRUE,"CF assum";#N/A,#N/A,TRUE,"Unit Sales";#N/A,#N/A,TRUE,"REV";#N/A,#N/A,TRUE,"Bdgt Backup"}</definedName>
    <definedName name="wrn.PrintAll." localSheetId="12" hidden="1">{#N/A,#N/A,FALSE,"Broker Sheet";#N/A,#N/A,FALSE,"Exec.Summary";#N/A,#N/A,FALSE,"Argus Cash Flow";#N/A,#N/A,FALSE,"SPF";#N/A,#N/A,FALSE,"RentRoll"}</definedName>
    <definedName name="wrn.PrintAll." localSheetId="13" hidden="1">{#N/A,#N/A,FALSE,"Broker Sheet";#N/A,#N/A,FALSE,"Exec.Summary";#N/A,#N/A,FALSE,"Argus Cash Flow";#N/A,#N/A,FALSE,"SPF";#N/A,#N/A,FALSE,"RentRoll"}</definedName>
    <definedName name="wrn.PrintAll." localSheetId="14" hidden="1">{#N/A,#N/A,FALSE,"Broker Sheet";#N/A,#N/A,FALSE,"Exec.Summary";#N/A,#N/A,FALSE,"Argus Cash Flow";#N/A,#N/A,FALSE,"SPF";#N/A,#N/A,FALSE,"RentRoll"}</definedName>
    <definedName name="wrn.PrintAll." localSheetId="15" hidden="1">{#N/A,#N/A,FALSE,"Broker Sheet";#N/A,#N/A,FALSE,"Exec.Summary";#N/A,#N/A,FALSE,"Argus Cash Flow";#N/A,#N/A,FALSE,"SPF";#N/A,#N/A,FALSE,"RentRoll"}</definedName>
    <definedName name="wrn.PrintAll." localSheetId="0" hidden="1">{#N/A,#N/A,FALSE,"Broker Sheet";#N/A,#N/A,FALSE,"Exec.Summary";#N/A,#N/A,FALSE,"Argus Cash Flow";#N/A,#N/A,FALSE,"SPF";#N/A,#N/A,FALSE,"RentRoll"}</definedName>
    <definedName name="wrn.PrintAll." hidden="1">{#N/A,#N/A,FALSE,"Broker Sheet";#N/A,#N/A,FALSE,"Exec.Summary";#N/A,#N/A,FALSE,"Argus Cash Flow";#N/A,#N/A,FALSE,"SPF";#N/A,#N/A,FALSE,"RentRoll"}</definedName>
    <definedName name="wrn.Proforma." localSheetId="12" hidden="1">{#N/A,#N/A,TRUE,"Summary";#N/A,#N/A,TRUE,"InPlace";#N/A,#N/A,TRUE,"Stable";#N/A,#N/A,TRUE,"RentRoll";#N/A,#N/A,TRUE,"I&amp;E";#N/A,#N/A,TRUE,"Expense Detail";#N/A,#N/A,TRUE,"CAM Recov(InPlace)";#N/A,#N/A,TRUE,"CAM Recov(Stable)";#N/A,#N/A,TRUE,"Tax Recov";#N/A,#N/A,TRUE,"Expiration";#N/A,#N/A,TRUE,"Sales";#N/A,#N/A,TRUE,"Tax"}</definedName>
    <definedName name="wrn.Proforma." localSheetId="13" hidden="1">{#N/A,#N/A,TRUE,"Summary";#N/A,#N/A,TRUE,"InPlace";#N/A,#N/A,TRUE,"Stable";#N/A,#N/A,TRUE,"RentRoll";#N/A,#N/A,TRUE,"I&amp;E";#N/A,#N/A,TRUE,"Expense Detail";#N/A,#N/A,TRUE,"CAM Recov(InPlace)";#N/A,#N/A,TRUE,"CAM Recov(Stable)";#N/A,#N/A,TRUE,"Tax Recov";#N/A,#N/A,TRUE,"Expiration";#N/A,#N/A,TRUE,"Sales";#N/A,#N/A,TRUE,"Tax"}</definedName>
    <definedName name="wrn.Proforma." localSheetId="14" hidden="1">{#N/A,#N/A,TRUE,"Summary";#N/A,#N/A,TRUE,"InPlace";#N/A,#N/A,TRUE,"Stable";#N/A,#N/A,TRUE,"RentRoll";#N/A,#N/A,TRUE,"I&amp;E";#N/A,#N/A,TRUE,"Expense Detail";#N/A,#N/A,TRUE,"CAM Recov(InPlace)";#N/A,#N/A,TRUE,"CAM Recov(Stable)";#N/A,#N/A,TRUE,"Tax Recov";#N/A,#N/A,TRUE,"Expiration";#N/A,#N/A,TRUE,"Sales";#N/A,#N/A,TRUE,"Tax"}</definedName>
    <definedName name="wrn.Proforma." localSheetId="15" hidden="1">{#N/A,#N/A,TRUE,"Summary";#N/A,#N/A,TRUE,"InPlace";#N/A,#N/A,TRUE,"Stable";#N/A,#N/A,TRUE,"RentRoll";#N/A,#N/A,TRUE,"I&amp;E";#N/A,#N/A,TRUE,"Expense Detail";#N/A,#N/A,TRUE,"CAM Recov(InPlace)";#N/A,#N/A,TRUE,"CAM Recov(Stable)";#N/A,#N/A,TRUE,"Tax Recov";#N/A,#N/A,TRUE,"Expiration";#N/A,#N/A,TRUE,"Sales";#N/A,#N/A,TRUE,"Tax"}</definedName>
    <definedName name="wrn.Proforma." localSheetId="0" hidden="1">{#N/A,#N/A,TRUE,"Summary";#N/A,#N/A,TRUE,"InPlace";#N/A,#N/A,TRUE,"Stable";#N/A,#N/A,TRUE,"RentRoll";#N/A,#N/A,TRUE,"I&amp;E";#N/A,#N/A,TRUE,"Expense Detail";#N/A,#N/A,TRUE,"CAM Recov(InPlace)";#N/A,#N/A,TRUE,"CAM Recov(Stable)";#N/A,#N/A,TRUE,"Tax Recov";#N/A,#N/A,TRUE,"Expiration";#N/A,#N/A,TRUE,"Sales";#N/A,#N/A,TRUE,"Tax"}</definedName>
    <definedName name="wrn.Proforma." hidden="1">{#N/A,#N/A,TRUE,"Summary";#N/A,#N/A,TRUE,"InPlace";#N/A,#N/A,TRUE,"Stable";#N/A,#N/A,TRUE,"RentRoll";#N/A,#N/A,TRUE,"I&amp;E";#N/A,#N/A,TRUE,"Expense Detail";#N/A,#N/A,TRUE,"CAM Recov(InPlace)";#N/A,#N/A,TRUE,"CAM Recov(Stable)";#N/A,#N/A,TRUE,"Tax Recov";#N/A,#N/A,TRUE,"Expiration";#N/A,#N/A,TRUE,"Sales";#N/A,#N/A,TRUE,"Tax"}</definedName>
    <definedName name="wrn.PropertyInformation." localSheetId="12" hidden="1">{#N/A,#N/A,FALSE,"PropertyInfo"}</definedName>
    <definedName name="wrn.PropertyInformation." localSheetId="13" hidden="1">{#N/A,#N/A,FALSE,"PropertyInfo"}</definedName>
    <definedName name="wrn.PropertyInformation." localSheetId="14" hidden="1">{#N/A,#N/A,FALSE,"PropertyInfo"}</definedName>
    <definedName name="wrn.PropertyInformation." localSheetId="15" hidden="1">{#N/A,#N/A,FALSE,"PropertyInfo"}</definedName>
    <definedName name="wrn.PropertyInformation." localSheetId="0" hidden="1">{#N/A,#N/A,FALSE,"PropertyInfo"}</definedName>
    <definedName name="wrn.PropertyInformation." hidden="1">{#N/A,#N/A,FALSE,"PropertyInfo"}</definedName>
    <definedName name="wrn.Report." localSheetId="12" hidden="1">{#N/A,#N/A,FALSE,"Summary";#N/A,#N/A,FALSE,"Assumptions";#N/A,#N/A,FALSE,"Notes";#N/A,#N/A,FALSE,"Cash Flow";#N/A,#N/A,FALSE,"Eff. Rent Detail";#N/A,#N/A,FALSE,"Residual";#N/A,#N/A,FALSE,"Value Matrix";#N/A,#N/A,FALSE,"Pro Forma";#N/A,#N/A,FALSE,"Historical Op";#N/A,#N/A,FALSE,"Value Comp";#N/A,#N/A,FALSE,"Matrices"}</definedName>
    <definedName name="wrn.Report." localSheetId="13" hidden="1">{#N/A,#N/A,FALSE,"Summary";#N/A,#N/A,FALSE,"Assumptions";#N/A,#N/A,FALSE,"Notes";#N/A,#N/A,FALSE,"Cash Flow";#N/A,#N/A,FALSE,"Eff. Rent Detail";#N/A,#N/A,FALSE,"Residual";#N/A,#N/A,FALSE,"Value Matrix";#N/A,#N/A,FALSE,"Pro Forma";#N/A,#N/A,FALSE,"Historical Op";#N/A,#N/A,FALSE,"Value Comp";#N/A,#N/A,FALSE,"Matrices"}</definedName>
    <definedName name="wrn.Report." localSheetId="14" hidden="1">{#N/A,#N/A,FALSE,"Summary";#N/A,#N/A,FALSE,"Assumptions";#N/A,#N/A,FALSE,"Notes";#N/A,#N/A,FALSE,"Cash Flow";#N/A,#N/A,FALSE,"Eff. Rent Detail";#N/A,#N/A,FALSE,"Residual";#N/A,#N/A,FALSE,"Value Matrix";#N/A,#N/A,FALSE,"Pro Forma";#N/A,#N/A,FALSE,"Historical Op";#N/A,#N/A,FALSE,"Value Comp";#N/A,#N/A,FALSE,"Matrices"}</definedName>
    <definedName name="wrn.Report." localSheetId="15" hidden="1">{#N/A,#N/A,FALSE,"Summary";#N/A,#N/A,FALSE,"Assumptions";#N/A,#N/A,FALSE,"Notes";#N/A,#N/A,FALSE,"Cash Flow";#N/A,#N/A,FALSE,"Eff. Rent Detail";#N/A,#N/A,FALSE,"Residual";#N/A,#N/A,FALSE,"Value Matrix";#N/A,#N/A,FALSE,"Pro Forma";#N/A,#N/A,FALSE,"Historical Op";#N/A,#N/A,FALSE,"Value Comp";#N/A,#N/A,FALSE,"Matrices"}</definedName>
    <definedName name="wrn.Report." localSheetId="0" hidden="1">{#N/A,#N/A,FALSE,"Summary";#N/A,#N/A,FALSE,"Assumptions";#N/A,#N/A,FALSE,"Notes";#N/A,#N/A,FALSE,"Cash Flow";#N/A,#N/A,FALSE,"Eff. Rent Detail";#N/A,#N/A,FALSE,"Residual";#N/A,#N/A,FALSE,"Value Matrix";#N/A,#N/A,FALSE,"Pro Forma";#N/A,#N/A,FALSE,"Historical Op";#N/A,#N/A,FALSE,"Value Comp";#N/A,#N/A,FALSE,"Matrices"}</definedName>
    <definedName name="wrn.Report." hidden="1">{#N/A,#N/A,FALSE,"Summary";#N/A,#N/A,FALSE,"Assumptions";#N/A,#N/A,FALSE,"Notes";#N/A,#N/A,FALSE,"Cash Flow";#N/A,#N/A,FALSE,"Eff. Rent Detail";#N/A,#N/A,FALSE,"Residual";#N/A,#N/A,FALSE,"Value Matrix";#N/A,#N/A,FALSE,"Pro Forma";#N/A,#N/A,FALSE,"Historical Op";#N/A,#N/A,FALSE,"Value Comp";#N/A,#N/A,FALSE,"Matrices"}</definedName>
    <definedName name="wrn.Short._.Print." localSheetId="12" hidden="1">{#N/A,#N/A,FALSE,"Cover";#N/A,#N/A,FALSE,"Stack";#N/A,#N/A,FALSE,"Cost S";#N/A,#N/A,FALSE," CF";#N/A,#N/A,FALSE,"Investor"}</definedName>
    <definedName name="wrn.Short._.Print." localSheetId="13" hidden="1">{#N/A,#N/A,FALSE,"Cover";#N/A,#N/A,FALSE,"Stack";#N/A,#N/A,FALSE,"Cost S";#N/A,#N/A,FALSE," CF";#N/A,#N/A,FALSE,"Investor"}</definedName>
    <definedName name="wrn.Short._.Print." localSheetId="14" hidden="1">{#N/A,#N/A,FALSE,"Cover";#N/A,#N/A,FALSE,"Stack";#N/A,#N/A,FALSE,"Cost S";#N/A,#N/A,FALSE," CF";#N/A,#N/A,FALSE,"Investor"}</definedName>
    <definedName name="wrn.Short._.Print." localSheetId="15" hidden="1">{#N/A,#N/A,FALSE,"Cover";#N/A,#N/A,FALSE,"Stack";#N/A,#N/A,FALSE,"Cost S";#N/A,#N/A,FALSE," CF";#N/A,#N/A,FALSE,"Investor"}</definedName>
    <definedName name="wrn.Short._.Print." localSheetId="7" hidden="1">{#N/A,#N/A,FALSE,"Cover";#N/A,#N/A,FALSE,"Stack";#N/A,#N/A,FALSE,"Cost S";#N/A,#N/A,FALSE," CF";#N/A,#N/A,FALSE,"Investor"}</definedName>
    <definedName name="wrn.Short._.Print." localSheetId="8" hidden="1">{#N/A,#N/A,FALSE,"Cover";#N/A,#N/A,FALSE,"Stack";#N/A,#N/A,FALSE,"Cost S";#N/A,#N/A,FALSE," CF";#N/A,#N/A,FALSE,"Investor"}</definedName>
    <definedName name="wrn.Short._.Print." localSheetId="9" hidden="1">{#N/A,#N/A,FALSE,"Cover";#N/A,#N/A,FALSE,"Stack";#N/A,#N/A,FALSE,"Cost S";#N/A,#N/A,FALSE," CF";#N/A,#N/A,FALSE,"Investor"}</definedName>
    <definedName name="wrn.Short._.Print." localSheetId="11" hidden="1">{#N/A,#N/A,FALSE,"Cover";#N/A,#N/A,FALSE,"Stack";#N/A,#N/A,FALSE,"Cost S";#N/A,#N/A,FALSE," CF";#N/A,#N/A,FALSE,"Investor"}</definedName>
    <definedName name="wrn.Short._.Print." localSheetId="0" hidden="1">{#N/A,#N/A,FALSE,"Cover";#N/A,#N/A,FALSE,"Stack";#N/A,#N/A,FALSE,"Cost S";#N/A,#N/A,FALSE," CF";#N/A,#N/A,FALSE,"Investor"}</definedName>
    <definedName name="wrn.Short._.Print." hidden="1">{#N/A,#N/A,FALSE,"Cover";#N/A,#N/A,FALSE,"Stack";#N/A,#N/A,FALSE,"Cost S";#N/A,#N/A,FALSE," CF";#N/A,#N/A,FALSE,"Investor"}</definedName>
    <definedName name="wrn.Summary." localSheetId="12" hidden="1">{#N/A,#N/A,FALSE,"Summary"}</definedName>
    <definedName name="wrn.Summary." localSheetId="13" hidden="1">{#N/A,#N/A,FALSE,"Summary"}</definedName>
    <definedName name="wrn.Summary." localSheetId="14" hidden="1">{#N/A,#N/A,FALSE,"Summary"}</definedName>
    <definedName name="wrn.Summary." localSheetId="15" hidden="1">{#N/A,#N/A,FALSE,"Summary"}</definedName>
    <definedName name="wrn.Summary." localSheetId="0" hidden="1">{#N/A,#N/A,FALSE,"Summary"}</definedName>
    <definedName name="wrn.Summary." hidden="1">{#N/A,#N/A,FALSE,"Summary"}</definedName>
    <definedName name="wrn.Template." localSheetId="12"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 localSheetId="13"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 localSheetId="14"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 localSheetId="15"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 localSheetId="0"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Template." hidden="1">{#N/A,#N/A,FALSE,"1_Executive Summary";#N/A,#N/A,FALSE,"2_Assumptions";#N/A,#N/A,FALSE,"3_Footnotes";#N/A,#N/A,FALSE,"4_Cash Flow";#N/A,#N/A,FALSE,"6_Residual - Marketing";#N/A,#N/A,FALSE,"7_Residual Matrix";#N/A,#N/A,FALSE,"8_Pricing Matrix";#N/A,#N/A,FALSE,"9_Value Matrix";#N/A,#N/A,FALSE,"10_Vacancy Detail";#N/A,#N/A,FALSE,"11_Basic Expiration"}</definedName>
    <definedName name="wrn.USSC_Reports." localSheetId="12"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wrn.USSC_Reports." localSheetId="13"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wrn.USSC_Reports." localSheetId="14"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wrn.USSC_Reports." localSheetId="15"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wrn.USSC_Reports." localSheetId="0"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wrn.USSC_Reports." hidden="1">{#N/A,#N/A,FALSE,"9Pricing Matrix";#N/A,#N/A,FALSE,"1Summary";#N/A,#N/A,FALSE,"2Assumptions";#N/A,#N/A,FALSE,"3Cash Flow";#N/A,#N/A,FALSE,"5Residual";#N/A,#N/A,FALSE,"Occupancy Cost";#N/A,#N/A,FALSE,"7Financing Sensitivity";#N/A,#N/A,FALSE,"8Residual Sensitivity";#N/A,#N/A,FALSE,"10Vacancy Matrix";#N/A,#N/A,FALSE,"11Expiration Schedule";#N/A,#N/A,FALSE,"12Lease-up Schedule";#N/A,#N/A,FALSE,"OFS-Lease-up Schedule";#N/A,#N/A,FALSE,"Short Holds"}</definedName>
    <definedName name="xxx3" localSheetId="12" hidden="1">{"AnnualRentRoll",#N/A,FALSE,"RentRoll"}</definedName>
    <definedName name="xxx3" localSheetId="13" hidden="1">{"AnnualRentRoll",#N/A,FALSE,"RentRoll"}</definedName>
    <definedName name="xxx3" localSheetId="14" hidden="1">{"AnnualRentRoll",#N/A,FALSE,"RentRoll"}</definedName>
    <definedName name="xxx3" localSheetId="15" hidden="1">{"AnnualRentRoll",#N/A,FALSE,"RentRoll"}</definedName>
    <definedName name="xxx3" localSheetId="0" hidden="1">{"AnnualRentRoll",#N/A,FALSE,"RentRoll"}</definedName>
    <definedName name="xxx3" hidden="1">{"AnnualRentRoll",#N/A,FALSE,"RentRoll"}</definedName>
    <definedName name="xxx4" localSheetId="12" hidden="1">{#N/A,#N/A,FALSE,"ExitStratigy"}</definedName>
    <definedName name="xxx4" localSheetId="13" hidden="1">{#N/A,#N/A,FALSE,"ExitStratigy"}</definedName>
    <definedName name="xxx4" localSheetId="14" hidden="1">{#N/A,#N/A,FALSE,"ExitStratigy"}</definedName>
    <definedName name="xxx4" localSheetId="15" hidden="1">{#N/A,#N/A,FALSE,"ExitStratigy"}</definedName>
    <definedName name="xxx4" localSheetId="0" hidden="1">{#N/A,#N/A,FALSE,"ExitStratigy"}</definedName>
    <definedName name="xxx4" hidden="1">{#N/A,#N/A,FALSE,"ExitStratigy"}</definedName>
    <definedName name="Z_AC6D0829_7D33_475A_BFC8_17DE97049707_.wvu.PrintArea" localSheetId="12" hidden="1">'11. Partnership Structure 1'!$B$2:$H$19</definedName>
    <definedName name="Z_AC6D0829_7D33_475A_BFC8_17DE97049707_.wvu.PrintArea" localSheetId="13" hidden="1">'12. Partnership Structure 2'!$B$2:$H$22</definedName>
    <definedName name="Z_AC6D0829_7D33_475A_BFC8_17DE97049707_.wvu.PrintArea" localSheetId="14" hidden="1">'13. Partnership Structure 3'!$B$2:$H$26</definedName>
  </definedNames>
  <calcPr calcId="191029" calcMode="autoNoTable"/>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6" i="60" l="1"/>
  <c r="M76" i="60"/>
  <c r="N76" i="60"/>
  <c r="O76" i="60"/>
  <c r="P76" i="60"/>
  <c r="Q76" i="60"/>
  <c r="R76" i="60"/>
  <c r="S76" i="60"/>
  <c r="I43" i="60"/>
  <c r="J43" i="60" s="1"/>
  <c r="K43" i="60" s="1"/>
  <c r="L43" i="60" s="1"/>
  <c r="M43" i="60" s="1"/>
  <c r="N43" i="60" s="1"/>
  <c r="O43" i="60" s="1"/>
  <c r="P43" i="60" s="1"/>
  <c r="Q43" i="60" s="1"/>
  <c r="R43" i="60" s="1"/>
  <c r="S43" i="60" s="1"/>
  <c r="K76" i="60"/>
  <c r="J76" i="60"/>
  <c r="E76" i="60" s="1"/>
  <c r="I76" i="60"/>
  <c r="H76" i="60"/>
  <c r="H49" i="60"/>
  <c r="C83" i="60"/>
  <c r="H75" i="60"/>
  <c r="D74" i="60"/>
  <c r="B71" i="60"/>
  <c r="H77" i="60" s="1"/>
  <c r="S49" i="60"/>
  <c r="R49" i="60"/>
  <c r="Q49" i="60"/>
  <c r="P49" i="60"/>
  <c r="O49" i="60"/>
  <c r="N49" i="60"/>
  <c r="M49" i="60"/>
  <c r="L49" i="60"/>
  <c r="K49" i="60"/>
  <c r="J49" i="60"/>
  <c r="I49" i="60"/>
  <c r="C56" i="60"/>
  <c r="H48" i="60"/>
  <c r="D47" i="60"/>
  <c r="B44" i="60" s="1"/>
  <c r="B45" i="60" s="1"/>
  <c r="C36" i="60"/>
  <c r="D27" i="60"/>
  <c r="B23" i="60" s="1"/>
  <c r="B24" i="60" s="1"/>
  <c r="I22" i="60"/>
  <c r="J22" i="60" s="1"/>
  <c r="K22" i="60" s="1"/>
  <c r="L22" i="60" s="1"/>
  <c r="M22" i="60" s="1"/>
  <c r="N22" i="60" s="1"/>
  <c r="O22" i="60" s="1"/>
  <c r="P22" i="60" s="1"/>
  <c r="Q22" i="60" s="1"/>
  <c r="R22" i="60" s="1"/>
  <c r="S22" i="60" s="1"/>
  <c r="I12" i="58"/>
  <c r="J12" i="58"/>
  <c r="K12" i="58" s="1"/>
  <c r="L12" i="58" s="1"/>
  <c r="M12" i="58" s="1"/>
  <c r="N12" i="58" s="1"/>
  <c r="O12" i="58" s="1"/>
  <c r="P12" i="58" s="1"/>
  <c r="Q12" i="58" s="1"/>
  <c r="R12" i="58" s="1"/>
  <c r="S12" i="58" s="1"/>
  <c r="I12" i="43"/>
  <c r="J12" i="43" s="1"/>
  <c r="K12" i="43" s="1"/>
  <c r="L12" i="43" s="1"/>
  <c r="M12" i="43" s="1"/>
  <c r="N12" i="43" s="1"/>
  <c r="O12" i="43" s="1"/>
  <c r="P12" i="43" s="1"/>
  <c r="Q12" i="43" s="1"/>
  <c r="R12" i="43" s="1"/>
  <c r="S12" i="43" s="1"/>
  <c r="S29" i="60"/>
  <c r="R29" i="60"/>
  <c r="Q29" i="60"/>
  <c r="P29" i="60"/>
  <c r="O29" i="60"/>
  <c r="N29" i="60"/>
  <c r="M29" i="60"/>
  <c r="L29" i="60"/>
  <c r="K29" i="60"/>
  <c r="J29" i="60"/>
  <c r="I29" i="60"/>
  <c r="H29" i="60"/>
  <c r="H28" i="60"/>
  <c r="E18" i="60"/>
  <c r="E16" i="60"/>
  <c r="S15" i="60"/>
  <c r="N15" i="60"/>
  <c r="M15" i="60"/>
  <c r="L15" i="60"/>
  <c r="K15" i="60"/>
  <c r="J15" i="60"/>
  <c r="I15" i="60"/>
  <c r="H15" i="60"/>
  <c r="S14" i="60"/>
  <c r="R14" i="60"/>
  <c r="Q14" i="60"/>
  <c r="P14" i="60"/>
  <c r="O14" i="60"/>
  <c r="N14" i="60"/>
  <c r="J14" i="60"/>
  <c r="I14" i="60"/>
  <c r="H14" i="60"/>
  <c r="N10" i="60"/>
  <c r="N9" i="60"/>
  <c r="K9" i="60"/>
  <c r="N8" i="60"/>
  <c r="P8" i="60" s="1"/>
  <c r="Q8" i="60" s="1"/>
  <c r="K8" i="60"/>
  <c r="E8" i="60"/>
  <c r="N7" i="60"/>
  <c r="P7" i="60"/>
  <c r="Q7" i="60"/>
  <c r="K7" i="60"/>
  <c r="N6" i="60"/>
  <c r="P6" i="60"/>
  <c r="H35" i="26"/>
  <c r="G28" i="35"/>
  <c r="H6" i="46"/>
  <c r="F6" i="46"/>
  <c r="D6" i="46"/>
  <c r="J6" i="46" s="1"/>
  <c r="S16" i="45"/>
  <c r="S91" i="45"/>
  <c r="R16" i="45"/>
  <c r="Q16" i="45"/>
  <c r="Q91" i="45" s="1"/>
  <c r="P16" i="45"/>
  <c r="O16" i="45"/>
  <c r="O91" i="45" s="1"/>
  <c r="N16" i="45"/>
  <c r="M16" i="45"/>
  <c r="M91" i="45"/>
  <c r="L16" i="45"/>
  <c r="K16" i="45"/>
  <c r="K91" i="45"/>
  <c r="J16" i="45"/>
  <c r="I16" i="45"/>
  <c r="I91" i="45" s="1"/>
  <c r="H16" i="45"/>
  <c r="C5" i="45"/>
  <c r="C6" i="45" s="1"/>
  <c r="C7" i="45" s="1"/>
  <c r="E7" i="45"/>
  <c r="S87" i="58"/>
  <c r="R87" i="58"/>
  <c r="Q87" i="58"/>
  <c r="P87" i="58"/>
  <c r="O87" i="58"/>
  <c r="N87" i="58"/>
  <c r="M87" i="58"/>
  <c r="L87" i="58"/>
  <c r="K87" i="58"/>
  <c r="J87" i="58"/>
  <c r="I87" i="58"/>
  <c r="H87" i="58"/>
  <c r="C90" i="58"/>
  <c r="C91" i="58" s="1"/>
  <c r="C81" i="58"/>
  <c r="D78" i="58"/>
  <c r="C74" i="58"/>
  <c r="H63" i="58"/>
  <c r="D62" i="58"/>
  <c r="C117" i="58" s="1"/>
  <c r="C58" i="58"/>
  <c r="D47" i="58"/>
  <c r="C116" i="58"/>
  <c r="C43" i="58"/>
  <c r="H34" i="58"/>
  <c r="D33" i="58"/>
  <c r="C115" i="58" s="1"/>
  <c r="C29" i="58"/>
  <c r="S22" i="58"/>
  <c r="R22" i="58"/>
  <c r="Q22" i="58"/>
  <c r="Q100" i="58" s="1"/>
  <c r="P22" i="58"/>
  <c r="O22" i="58"/>
  <c r="N22" i="58"/>
  <c r="M22" i="58"/>
  <c r="L22" i="58"/>
  <c r="K22" i="58"/>
  <c r="J22" i="58"/>
  <c r="I22" i="58"/>
  <c r="H22" i="58"/>
  <c r="E22" i="58" s="1"/>
  <c r="H21" i="58"/>
  <c r="D20" i="58"/>
  <c r="C114" i="58" s="1"/>
  <c r="E18" i="58"/>
  <c r="E16" i="58"/>
  <c r="S15" i="58"/>
  <c r="N15" i="58"/>
  <c r="M15" i="58"/>
  <c r="L15" i="58"/>
  <c r="E15" i="58" s="1"/>
  <c r="K15" i="58"/>
  <c r="J15" i="58"/>
  <c r="I15" i="58"/>
  <c r="H15" i="58"/>
  <c r="S14" i="58"/>
  <c r="S100" i="58"/>
  <c r="R14" i="58"/>
  <c r="R100" i="58" s="1"/>
  <c r="Q14" i="58"/>
  <c r="P14" i="58"/>
  <c r="P100" i="58" s="1"/>
  <c r="O14" i="58"/>
  <c r="O100" i="58" s="1"/>
  <c r="N14" i="58"/>
  <c r="N100" i="58"/>
  <c r="J14" i="58"/>
  <c r="I14" i="58"/>
  <c r="I100" i="58" s="1"/>
  <c r="H14" i="58"/>
  <c r="H100" i="58"/>
  <c r="E14" i="58"/>
  <c r="K8" i="58"/>
  <c r="K7" i="58"/>
  <c r="E7" i="58"/>
  <c r="C5" i="58" s="1"/>
  <c r="N6" i="58"/>
  <c r="K6" i="58"/>
  <c r="E7" i="43"/>
  <c r="H14" i="43"/>
  <c r="N18" i="29"/>
  <c r="M18" i="29"/>
  <c r="N17" i="29"/>
  <c r="M17" i="29"/>
  <c r="N16" i="29"/>
  <c r="M16" i="29"/>
  <c r="H16" i="26"/>
  <c r="H17" i="26" s="1"/>
  <c r="H27" i="26"/>
  <c r="H16" i="25"/>
  <c r="H17" i="25"/>
  <c r="S33" i="46"/>
  <c r="R33" i="46"/>
  <c r="Q33" i="46"/>
  <c r="N33" i="46"/>
  <c r="S32" i="46"/>
  <c r="R32" i="46"/>
  <c r="Q32" i="46"/>
  <c r="O32" i="46"/>
  <c r="N32" i="46"/>
  <c r="S31" i="46"/>
  <c r="R31" i="46"/>
  <c r="Q31" i="46"/>
  <c r="O31" i="46"/>
  <c r="N31" i="46"/>
  <c r="S30" i="46"/>
  <c r="R30" i="46"/>
  <c r="Q30" i="46"/>
  <c r="O30" i="46"/>
  <c r="N30" i="46"/>
  <c r="S29" i="46"/>
  <c r="R29" i="46"/>
  <c r="Q29" i="46"/>
  <c r="P29" i="46"/>
  <c r="O29" i="46"/>
  <c r="N29" i="46"/>
  <c r="V28" i="46"/>
  <c r="U28" i="46"/>
  <c r="T28" i="46"/>
  <c r="S28" i="46"/>
  <c r="S21" i="46"/>
  <c r="R21" i="46"/>
  <c r="Q21" i="46"/>
  <c r="N21" i="46"/>
  <c r="S20" i="46"/>
  <c r="R20" i="46"/>
  <c r="Q20" i="46"/>
  <c r="O20" i="46"/>
  <c r="N20" i="46"/>
  <c r="S19" i="46"/>
  <c r="R19" i="46"/>
  <c r="Q19" i="46"/>
  <c r="O19" i="46"/>
  <c r="N19" i="46"/>
  <c r="S18" i="46"/>
  <c r="R18" i="46"/>
  <c r="Q18" i="46"/>
  <c r="O18" i="46"/>
  <c r="N18" i="46"/>
  <c r="S17" i="46"/>
  <c r="R17" i="46"/>
  <c r="Q17" i="46"/>
  <c r="P17" i="46"/>
  <c r="O17" i="46"/>
  <c r="N17" i="46"/>
  <c r="V16" i="46"/>
  <c r="U16" i="46"/>
  <c r="T16" i="46"/>
  <c r="S16" i="46"/>
  <c r="C85" i="45"/>
  <c r="D82" i="45"/>
  <c r="C78" i="45"/>
  <c r="H67" i="45"/>
  <c r="D66" i="45"/>
  <c r="C62" i="45"/>
  <c r="H52" i="45"/>
  <c r="D51" i="45"/>
  <c r="C122" i="45"/>
  <c r="C47" i="45"/>
  <c r="H38" i="45"/>
  <c r="D37" i="45"/>
  <c r="C121" i="45"/>
  <c r="C33" i="45"/>
  <c r="H25" i="45"/>
  <c r="D24" i="45"/>
  <c r="S26" i="45"/>
  <c r="R26" i="45"/>
  <c r="Q26" i="45"/>
  <c r="P26" i="45"/>
  <c r="O26" i="45"/>
  <c r="I26" i="45"/>
  <c r="H26" i="45"/>
  <c r="R91" i="45"/>
  <c r="P91" i="45"/>
  <c r="N91" i="45"/>
  <c r="L91" i="45"/>
  <c r="J91" i="45"/>
  <c r="H91" i="45"/>
  <c r="R15" i="45"/>
  <c r="P15" i="45"/>
  <c r="N15" i="45"/>
  <c r="L15" i="45"/>
  <c r="J15" i="45"/>
  <c r="H15" i="45"/>
  <c r="S14" i="45"/>
  <c r="R14" i="45"/>
  <c r="Q14" i="45"/>
  <c r="P14" i="45"/>
  <c r="O14" i="45"/>
  <c r="N14" i="45"/>
  <c r="M14" i="45"/>
  <c r="L14" i="45"/>
  <c r="K14" i="45"/>
  <c r="E14" i="45" s="1"/>
  <c r="J14" i="45"/>
  <c r="I14" i="45"/>
  <c r="H14" i="45"/>
  <c r="K8" i="45"/>
  <c r="P32" i="46"/>
  <c r="K7" i="45"/>
  <c r="P31" i="46" s="1"/>
  <c r="N6" i="45"/>
  <c r="K6" i="45"/>
  <c r="P30" i="46"/>
  <c r="H36" i="46"/>
  <c r="C81" i="43"/>
  <c r="D78" i="43"/>
  <c r="C74" i="43"/>
  <c r="H63" i="43"/>
  <c r="D62" i="43"/>
  <c r="C117" i="43"/>
  <c r="C58" i="43"/>
  <c r="H48" i="43"/>
  <c r="D47" i="43"/>
  <c r="C116" i="43"/>
  <c r="C43" i="43"/>
  <c r="H34" i="43"/>
  <c r="D33" i="43"/>
  <c r="C115" i="43"/>
  <c r="C29" i="43"/>
  <c r="H21" i="43"/>
  <c r="D20" i="43"/>
  <c r="C114" i="43"/>
  <c r="S22" i="43"/>
  <c r="S35" i="43"/>
  <c r="R22" i="43"/>
  <c r="R49" i="43"/>
  <c r="Q22" i="43"/>
  <c r="Q64" i="43" s="1"/>
  <c r="P22" i="43"/>
  <c r="P64" i="43"/>
  <c r="O22" i="43"/>
  <c r="O35" i="43" s="1"/>
  <c r="I22" i="43"/>
  <c r="I64" i="43"/>
  <c r="H22" i="43"/>
  <c r="S87" i="43"/>
  <c r="R87" i="43"/>
  <c r="Q87" i="43"/>
  <c r="P87" i="43"/>
  <c r="O87" i="43"/>
  <c r="N87" i="43"/>
  <c r="M87" i="43"/>
  <c r="L87" i="43"/>
  <c r="K87" i="43"/>
  <c r="J87" i="43"/>
  <c r="I87" i="43"/>
  <c r="H87" i="43"/>
  <c r="S15" i="43"/>
  <c r="N15" i="43"/>
  <c r="M15" i="43"/>
  <c r="L15" i="43"/>
  <c r="K15" i="43"/>
  <c r="E15" i="43" s="1"/>
  <c r="J15" i="43"/>
  <c r="I15" i="43"/>
  <c r="H15" i="43"/>
  <c r="S14" i="43"/>
  <c r="S100" i="43"/>
  <c r="R14" i="43"/>
  <c r="R100" i="43"/>
  <c r="Q14" i="43"/>
  <c r="P14" i="43"/>
  <c r="O14" i="43"/>
  <c r="O100" i="43"/>
  <c r="N14" i="43"/>
  <c r="J14" i="43"/>
  <c r="I14" i="43"/>
  <c r="K8" i="43"/>
  <c r="P20" i="46"/>
  <c r="K7" i="43"/>
  <c r="P19" i="46"/>
  <c r="K6" i="43"/>
  <c r="P18" i="46"/>
  <c r="H24" i="46"/>
  <c r="L24" i="46" s="1"/>
  <c r="M22" i="43"/>
  <c r="M64" i="43"/>
  <c r="D24" i="46"/>
  <c r="J35" i="26"/>
  <c r="I35" i="26"/>
  <c r="F12" i="26"/>
  <c r="F12" i="25"/>
  <c r="J6" i="26"/>
  <c r="K6" i="26" s="1"/>
  <c r="L6" i="26" s="1"/>
  <c r="J6" i="25"/>
  <c r="F14" i="17"/>
  <c r="E14" i="17"/>
  <c r="D21" i="17"/>
  <c r="D21" i="35"/>
  <c r="F14" i="35"/>
  <c r="E14" i="35" s="1"/>
  <c r="G16" i="35"/>
  <c r="H16" i="35"/>
  <c r="I16" i="35"/>
  <c r="J16" i="35"/>
  <c r="K16" i="35"/>
  <c r="H12" i="35"/>
  <c r="I12" i="35" s="1"/>
  <c r="J12" i="35"/>
  <c r="K12" i="35" s="1"/>
  <c r="D8" i="35"/>
  <c r="D22" i="35" s="1"/>
  <c r="F7" i="35"/>
  <c r="F7" i="17"/>
  <c r="D8" i="17"/>
  <c r="F8" i="17" s="1"/>
  <c r="D22" i="17"/>
  <c r="K16" i="17"/>
  <c r="K20" i="17"/>
  <c r="J16" i="17"/>
  <c r="J20" i="17"/>
  <c r="I16" i="17"/>
  <c r="I20" i="17"/>
  <c r="H16" i="17"/>
  <c r="H20" i="17"/>
  <c r="G16" i="17"/>
  <c r="G20" i="17" s="1"/>
  <c r="G21" i="17" s="1"/>
  <c r="E20" i="17"/>
  <c r="E16" i="29"/>
  <c r="J21" i="29"/>
  <c r="J19" i="29"/>
  <c r="J77" i="29" s="1"/>
  <c r="I21" i="29"/>
  <c r="I20" i="29" s="1"/>
  <c r="H21" i="29"/>
  <c r="E26" i="29"/>
  <c r="D55" i="29"/>
  <c r="J30" i="29"/>
  <c r="J43" i="29" s="1"/>
  <c r="I30" i="29"/>
  <c r="H19" i="29"/>
  <c r="H77" i="29" s="1"/>
  <c r="H42" i="29"/>
  <c r="H44" i="29"/>
  <c r="C92" i="29"/>
  <c r="H29" i="29"/>
  <c r="H31" i="29"/>
  <c r="C91" i="29"/>
  <c r="E11" i="29"/>
  <c r="C10" i="29" s="1"/>
  <c r="C98" i="29" s="1"/>
  <c r="G18" i="5"/>
  <c r="F17" i="14"/>
  <c r="E17" i="14"/>
  <c r="D17" i="14"/>
  <c r="D16" i="14"/>
  <c r="E16" i="14"/>
  <c r="F16" i="14" s="1"/>
  <c r="G16" i="14" s="1"/>
  <c r="L10" i="26"/>
  <c r="L15" i="26" s="1"/>
  <c r="K10" i="26"/>
  <c r="K15" i="26" s="1"/>
  <c r="J10" i="26"/>
  <c r="J15" i="26" s="1"/>
  <c r="I10" i="26"/>
  <c r="I15" i="26" s="1"/>
  <c r="H10" i="26"/>
  <c r="H15" i="26"/>
  <c r="L9" i="26"/>
  <c r="K9" i="26"/>
  <c r="K26" i="26"/>
  <c r="J9" i="26"/>
  <c r="J26" i="26"/>
  <c r="I9" i="26"/>
  <c r="I26" i="26"/>
  <c r="H9" i="26"/>
  <c r="F8" i="26"/>
  <c r="L10" i="25"/>
  <c r="L15" i="25"/>
  <c r="K10" i="25"/>
  <c r="K15" i="25" s="1"/>
  <c r="J10" i="25"/>
  <c r="J15" i="25" s="1"/>
  <c r="I10" i="25"/>
  <c r="H10" i="25"/>
  <c r="H15" i="25" s="1"/>
  <c r="L9" i="25"/>
  <c r="K9" i="25"/>
  <c r="J9" i="25"/>
  <c r="I9" i="25"/>
  <c r="H9" i="25"/>
  <c r="F8" i="25"/>
  <c r="K6" i="25"/>
  <c r="L6" i="25" s="1"/>
  <c r="G15" i="12"/>
  <c r="G17" i="12" s="1"/>
  <c r="G20" i="12" s="1"/>
  <c r="F15" i="12"/>
  <c r="F17" i="12"/>
  <c r="G27" i="4"/>
  <c r="H25" i="4"/>
  <c r="H27" i="4" s="1"/>
  <c r="G25" i="4"/>
  <c r="F25" i="4"/>
  <c r="F27" i="4"/>
  <c r="F17" i="4"/>
  <c r="F19" i="4"/>
  <c r="H17" i="4"/>
  <c r="G17" i="4"/>
  <c r="H19" i="4"/>
  <c r="G19" i="4"/>
  <c r="J18" i="5"/>
  <c r="H18" i="5"/>
  <c r="J14" i="5"/>
  <c r="I14" i="5"/>
  <c r="I16" i="5" s="1"/>
  <c r="I19" i="5" s="1"/>
  <c r="H14" i="5"/>
  <c r="G14" i="5"/>
  <c r="G16" i="5" s="1"/>
  <c r="G19" i="5" s="1"/>
  <c r="F14" i="5"/>
  <c r="F16" i="5" s="1"/>
  <c r="H12" i="17"/>
  <c r="I12" i="17"/>
  <c r="J12" i="17" s="1"/>
  <c r="K12" i="17" s="1"/>
  <c r="D10" i="14"/>
  <c r="E10" i="14" s="1"/>
  <c r="F10" i="14"/>
  <c r="G10" i="14" s="1"/>
  <c r="H24" i="4"/>
  <c r="H16" i="4"/>
  <c r="E6" i="12"/>
  <c r="G14" i="12"/>
  <c r="C15" i="12"/>
  <c r="C7" i="12"/>
  <c r="G19" i="12" s="1"/>
  <c r="C14" i="5"/>
  <c r="J13" i="5"/>
  <c r="C10" i="5"/>
  <c r="I18" i="5" s="1"/>
  <c r="E10" i="5"/>
  <c r="E9" i="5"/>
  <c r="E11" i="5" s="1"/>
  <c r="C25" i="4"/>
  <c r="C29" i="4"/>
  <c r="C30" i="4"/>
  <c r="C17" i="4"/>
  <c r="C13" i="4"/>
  <c r="F11" i="4"/>
  <c r="H29" i="4" s="1"/>
  <c r="C10" i="4"/>
  <c r="E10" i="4"/>
  <c r="C18" i="5"/>
  <c r="C19" i="5" s="1"/>
  <c r="C21" i="4"/>
  <c r="C22" i="4"/>
  <c r="E12" i="4"/>
  <c r="H28" i="26"/>
  <c r="J16" i="5"/>
  <c r="J19" i="5" s="1"/>
  <c r="H16" i="5"/>
  <c r="H19" i="5" s="1"/>
  <c r="H30" i="4"/>
  <c r="D6" i="14"/>
  <c r="D7" i="14"/>
  <c r="C11" i="14"/>
  <c r="C12" i="14" s="1"/>
  <c r="C17" i="14"/>
  <c r="C9" i="29"/>
  <c r="C97" i="29" s="1"/>
  <c r="I43" i="29"/>
  <c r="H30" i="29"/>
  <c r="H43" i="29" s="1"/>
  <c r="E30" i="29"/>
  <c r="I19" i="29"/>
  <c r="I77" i="29" s="1"/>
  <c r="I64" i="29"/>
  <c r="F26" i="25"/>
  <c r="F29" i="25"/>
  <c r="F32" i="25"/>
  <c r="F27" i="25"/>
  <c r="F28" i="25"/>
  <c r="F33" i="25"/>
  <c r="I100" i="43"/>
  <c r="M35" i="43"/>
  <c r="M49" i="43"/>
  <c r="H64" i="43"/>
  <c r="H35" i="43"/>
  <c r="O64" i="43"/>
  <c r="Q35" i="43"/>
  <c r="Q49" i="43"/>
  <c r="S64" i="43"/>
  <c r="I35" i="43"/>
  <c r="I49" i="43"/>
  <c r="P49" i="43"/>
  <c r="R64" i="43"/>
  <c r="R35" i="43"/>
  <c r="H100" i="43"/>
  <c r="D36" i="46"/>
  <c r="H68" i="45"/>
  <c r="H53" i="45"/>
  <c r="H39" i="45"/>
  <c r="O68" i="45"/>
  <c r="O39" i="45"/>
  <c r="O53" i="45"/>
  <c r="Q39" i="45"/>
  <c r="Q68" i="45"/>
  <c r="Q53" i="45"/>
  <c r="S53" i="45"/>
  <c r="N6" i="43"/>
  <c r="T18" i="46"/>
  <c r="N8" i="43"/>
  <c r="T20" i="46"/>
  <c r="N9" i="43"/>
  <c r="T21" i="46" s="1"/>
  <c r="E16" i="43"/>
  <c r="L22" i="43"/>
  <c r="L64" i="43"/>
  <c r="N22" i="43"/>
  <c r="N49" i="43" s="1"/>
  <c r="M26" i="45"/>
  <c r="K26" i="45"/>
  <c r="N26" i="45"/>
  <c r="L26" i="45"/>
  <c r="I39" i="45"/>
  <c r="I68" i="45"/>
  <c r="I53" i="45"/>
  <c r="P68" i="45"/>
  <c r="P53" i="45"/>
  <c r="P39" i="45"/>
  <c r="R68" i="45"/>
  <c r="R53" i="45"/>
  <c r="R39" i="45"/>
  <c r="N5" i="43"/>
  <c r="T17" i="46"/>
  <c r="N7" i="43"/>
  <c r="C57" i="43"/>
  <c r="K22" i="43"/>
  <c r="H36" i="43"/>
  <c r="N5" i="45"/>
  <c r="N7" i="45"/>
  <c r="I15" i="45"/>
  <c r="K15" i="45"/>
  <c r="M15" i="45"/>
  <c r="O15" i="45"/>
  <c r="Q15" i="45"/>
  <c r="S15" i="45"/>
  <c r="H54" i="45"/>
  <c r="N8" i="45"/>
  <c r="N9" i="45"/>
  <c r="C84" i="45" s="1"/>
  <c r="H40" i="45"/>
  <c r="L6" i="46"/>
  <c r="L7" i="46" s="1"/>
  <c r="T33" i="46"/>
  <c r="T31" i="46"/>
  <c r="P7" i="45"/>
  <c r="C61" i="45"/>
  <c r="T29" i="46"/>
  <c r="C32" i="45"/>
  <c r="P5" i="45"/>
  <c r="T19" i="46"/>
  <c r="C28" i="43"/>
  <c r="E22" i="45"/>
  <c r="J26" i="45"/>
  <c r="J39" i="45" s="1"/>
  <c r="E18" i="43"/>
  <c r="J22" i="43"/>
  <c r="J49" i="43" s="1"/>
  <c r="C73" i="43"/>
  <c r="T32" i="46"/>
  <c r="C77" i="45"/>
  <c r="P8" i="45"/>
  <c r="K64" i="43"/>
  <c r="L68" i="45"/>
  <c r="L53" i="45"/>
  <c r="L39" i="45"/>
  <c r="K68" i="45"/>
  <c r="K39" i="45"/>
  <c r="K53" i="45"/>
  <c r="C104" i="45"/>
  <c r="L49" i="43"/>
  <c r="Q8" i="45"/>
  <c r="Q5" i="45"/>
  <c r="C31" i="45" s="1"/>
  <c r="Q7" i="45"/>
  <c r="J64" i="43"/>
  <c r="J35" i="43"/>
  <c r="J100" i="43"/>
  <c r="C76" i="45"/>
  <c r="U32" i="46"/>
  <c r="U29" i="46"/>
  <c r="R8" i="45"/>
  <c r="V32" i="46" s="1"/>
  <c r="E19" i="29"/>
  <c r="J20" i="29"/>
  <c r="J64" i="29"/>
  <c r="H21" i="17"/>
  <c r="I21" i="17"/>
  <c r="K21" i="17"/>
  <c r="G24" i="17"/>
  <c r="G25" i="17" s="1"/>
  <c r="G28" i="17" s="1"/>
  <c r="F8" i="35"/>
  <c r="H65" i="43"/>
  <c r="C80" i="43"/>
  <c r="P6" i="43"/>
  <c r="P7" i="43"/>
  <c r="Q7" i="43"/>
  <c r="U19" i="46" s="1"/>
  <c r="P9" i="43"/>
  <c r="Q9" i="43" s="1"/>
  <c r="C42" i="43"/>
  <c r="K100" i="43"/>
  <c r="P35" i="43"/>
  <c r="L100" i="43"/>
  <c r="P100" i="43"/>
  <c r="C56" i="43"/>
  <c r="H23" i="43"/>
  <c r="L35" i="43"/>
  <c r="K49" i="43"/>
  <c r="K35" i="43"/>
  <c r="P8" i="43"/>
  <c r="P5" i="43"/>
  <c r="M100" i="43"/>
  <c r="S49" i="43"/>
  <c r="O49" i="43"/>
  <c r="H49" i="43"/>
  <c r="H26" i="26"/>
  <c r="G26" i="17"/>
  <c r="H24" i="17" s="1"/>
  <c r="R7" i="43"/>
  <c r="V19" i="46" s="1"/>
  <c r="Q5" i="43"/>
  <c r="R5" i="43" s="1"/>
  <c r="V17" i="46" s="1"/>
  <c r="U17" i="46"/>
  <c r="J22" i="17"/>
  <c r="C11" i="29"/>
  <c r="C77" i="29"/>
  <c r="C127" i="29"/>
  <c r="H64" i="58"/>
  <c r="L100" i="58"/>
  <c r="L64" i="58"/>
  <c r="N64" i="58"/>
  <c r="P64" i="58"/>
  <c r="R64" i="58"/>
  <c r="H35" i="58"/>
  <c r="L35" i="58"/>
  <c r="N35" i="58"/>
  <c r="P35" i="58"/>
  <c r="R35" i="58"/>
  <c r="I64" i="58"/>
  <c r="K100" i="58"/>
  <c r="K64" i="58"/>
  <c r="M100" i="58"/>
  <c r="M64" i="58"/>
  <c r="O64" i="58"/>
  <c r="Q64" i="58"/>
  <c r="S64" i="58"/>
  <c r="H23" i="58"/>
  <c r="I35" i="58"/>
  <c r="K35" i="58"/>
  <c r="M35" i="58"/>
  <c r="O35" i="58"/>
  <c r="Q35" i="58"/>
  <c r="S35" i="58"/>
  <c r="H36" i="58"/>
  <c r="C89" i="58"/>
  <c r="H65" i="58"/>
  <c r="C88" i="58"/>
  <c r="E14" i="43"/>
  <c r="E22" i="43"/>
  <c r="N100" i="43"/>
  <c r="N35" i="43"/>
  <c r="N64" i="43"/>
  <c r="E49" i="58"/>
  <c r="H68" i="58"/>
  <c r="H116" i="58"/>
  <c r="I68" i="58"/>
  <c r="I116" i="58"/>
  <c r="J116" i="58"/>
  <c r="J68" i="58"/>
  <c r="K68" i="58"/>
  <c r="K116" i="58"/>
  <c r="L68" i="58"/>
  <c r="L116" i="58"/>
  <c r="M68" i="58"/>
  <c r="M116" i="58"/>
  <c r="N116" i="58"/>
  <c r="N68" i="58"/>
  <c r="O68" i="58"/>
  <c r="O116" i="58"/>
  <c r="P68" i="58"/>
  <c r="P116" i="58"/>
  <c r="Q68" i="58"/>
  <c r="Q116" i="58"/>
  <c r="E51" i="58"/>
  <c r="R68" i="58"/>
  <c r="R116" i="58"/>
  <c r="E50" i="58"/>
  <c r="E52" i="58"/>
  <c r="S68" i="58"/>
  <c r="E68" i="58" s="1"/>
  <c r="E53" i="58"/>
  <c r="E54" i="58" s="1"/>
  <c r="S116" i="58"/>
  <c r="E116" i="58" s="1"/>
  <c r="E56" i="58"/>
  <c r="E58" i="58"/>
  <c r="E57" i="58"/>
  <c r="E60" i="58"/>
  <c r="H22" i="25"/>
  <c r="H18" i="25"/>
  <c r="H7" i="46"/>
  <c r="E20" i="35"/>
  <c r="H21" i="25"/>
  <c r="E21" i="35"/>
  <c r="E22" i="35"/>
  <c r="H28" i="35"/>
  <c r="J28" i="35"/>
  <c r="I28" i="35"/>
  <c r="K28" i="35"/>
  <c r="E28" i="35"/>
  <c r="E25" i="35"/>
  <c r="F24" i="46"/>
  <c r="J24" i="46"/>
  <c r="H32" i="29"/>
  <c r="H37" i="29" s="1"/>
  <c r="H36" i="29"/>
  <c r="H35" i="29"/>
  <c r="H33" i="29"/>
  <c r="I29" i="29" s="1"/>
  <c r="E29" i="60"/>
  <c r="C82" i="60"/>
  <c r="C35" i="60"/>
  <c r="E14" i="60"/>
  <c r="C55" i="60"/>
  <c r="E15" i="60"/>
  <c r="E49" i="60"/>
  <c r="Q6" i="60"/>
  <c r="R7" i="60"/>
  <c r="R8" i="60"/>
  <c r="P9" i="60"/>
  <c r="P10" i="60"/>
  <c r="Q10" i="60"/>
  <c r="R10" i="60" s="1"/>
  <c r="Q9" i="60"/>
  <c r="R9" i="60"/>
  <c r="F7" i="46"/>
  <c r="D7" i="46"/>
  <c r="E16" i="45"/>
  <c r="J7" i="46"/>
  <c r="Q8" i="43" l="1"/>
  <c r="R8" i="43"/>
  <c r="V20" i="46" s="1"/>
  <c r="I17" i="25"/>
  <c r="I22" i="25" s="1"/>
  <c r="H39" i="29"/>
  <c r="C54" i="60"/>
  <c r="R6" i="60"/>
  <c r="C34" i="60"/>
  <c r="C81" i="60"/>
  <c r="E35" i="43"/>
  <c r="I15" i="25"/>
  <c r="F10" i="25"/>
  <c r="L36" i="46"/>
  <c r="J36" i="46" s="1"/>
  <c r="F36" i="46"/>
  <c r="C92" i="45"/>
  <c r="C94" i="45"/>
  <c r="C93" i="45"/>
  <c r="E49" i="43"/>
  <c r="I31" i="29"/>
  <c r="E64" i="43"/>
  <c r="I16" i="25"/>
  <c r="C79" i="43"/>
  <c r="U21" i="46"/>
  <c r="R9" i="43"/>
  <c r="V21" i="46" s="1"/>
  <c r="F9" i="26"/>
  <c r="L26" i="26"/>
  <c r="E39" i="45"/>
  <c r="E53" i="45"/>
  <c r="H21" i="26"/>
  <c r="F15" i="26"/>
  <c r="H18" i="26"/>
  <c r="H29" i="26"/>
  <c r="E43" i="29"/>
  <c r="H45" i="29"/>
  <c r="N39" i="45"/>
  <c r="N68" i="45"/>
  <c r="N53" i="45"/>
  <c r="H91" i="29"/>
  <c r="R7" i="45"/>
  <c r="V31" i="46" s="1"/>
  <c r="U31" i="46"/>
  <c r="C60" i="45"/>
  <c r="F15" i="25"/>
  <c r="C90" i="43"/>
  <c r="C89" i="43"/>
  <c r="C88" i="43"/>
  <c r="J11" i="46" s="1"/>
  <c r="H22" i="26"/>
  <c r="J21" i="17"/>
  <c r="H25" i="17"/>
  <c r="Q6" i="43"/>
  <c r="R6" i="43" s="1"/>
  <c r="V18" i="46" s="1"/>
  <c r="M39" i="45"/>
  <c r="M53" i="45"/>
  <c r="C20" i="14"/>
  <c r="D20" i="14" s="1"/>
  <c r="C18" i="14"/>
  <c r="H20" i="29"/>
  <c r="E20" i="29" s="1"/>
  <c r="E21" i="29"/>
  <c r="C23" i="29"/>
  <c r="H64" i="29"/>
  <c r="J35" i="58"/>
  <c r="J100" i="58"/>
  <c r="J64" i="58"/>
  <c r="H50" i="60"/>
  <c r="F22" i="4"/>
  <c r="S68" i="45"/>
  <c r="S39" i="45"/>
  <c r="H69" i="45"/>
  <c r="C123" i="45"/>
  <c r="E15" i="45"/>
  <c r="F19" i="5"/>
  <c r="H27" i="45"/>
  <c r="C120" i="45"/>
  <c r="C21" i="14"/>
  <c r="D21" i="14" s="1"/>
  <c r="H22" i="17"/>
  <c r="K22" i="17"/>
  <c r="I22" i="17"/>
  <c r="G22" i="17"/>
  <c r="C46" i="45"/>
  <c r="P6" i="45"/>
  <c r="T30" i="46"/>
  <c r="M68" i="45"/>
  <c r="F9" i="25"/>
  <c r="H50" i="43"/>
  <c r="H30" i="60"/>
  <c r="J68" i="45"/>
  <c r="J53" i="45"/>
  <c r="E26" i="45"/>
  <c r="C20" i="12"/>
  <c r="C19" i="12"/>
  <c r="F26" i="26"/>
  <c r="P6" i="58"/>
  <c r="C42" i="58"/>
  <c r="C100" i="43"/>
  <c r="F21" i="4"/>
  <c r="H21" i="4"/>
  <c r="H22" i="4" s="1"/>
  <c r="G21" i="4"/>
  <c r="G22" i="4" s="1"/>
  <c r="E13" i="4"/>
  <c r="E14" i="4" s="1"/>
  <c r="E21" i="17"/>
  <c r="H33" i="26"/>
  <c r="N8" i="58"/>
  <c r="N5" i="58"/>
  <c r="N7" i="58"/>
  <c r="C6" i="58"/>
  <c r="C7" i="58" s="1"/>
  <c r="N9" i="58"/>
  <c r="P9" i="45"/>
  <c r="E7" i="12"/>
  <c r="E8" i="12" s="1"/>
  <c r="F29" i="4"/>
  <c r="F30" i="4" s="1"/>
  <c r="Q100" i="43"/>
  <c r="C27" i="43"/>
  <c r="H24" i="43" s="1"/>
  <c r="G29" i="4"/>
  <c r="G30" i="4" s="1"/>
  <c r="F10" i="26"/>
  <c r="B72" i="60"/>
  <c r="C13" i="14"/>
  <c r="C11" i="4"/>
  <c r="E11" i="4" s="1"/>
  <c r="F19" i="12"/>
  <c r="F20" i="12" s="1"/>
  <c r="R5" i="45"/>
  <c r="V29" i="46" s="1"/>
  <c r="F18" i="5"/>
  <c r="H29" i="43" l="1"/>
  <c r="H66" i="43"/>
  <c r="H27" i="43"/>
  <c r="H37" i="43"/>
  <c r="H25" i="43"/>
  <c r="I21" i="43" s="1"/>
  <c r="H51" i="43"/>
  <c r="H28" i="43"/>
  <c r="H114" i="43"/>
  <c r="H32" i="60"/>
  <c r="I28" i="60" s="1"/>
  <c r="H31" i="60"/>
  <c r="R9" i="45"/>
  <c r="V33" i="46" s="1"/>
  <c r="Q9" i="45"/>
  <c r="I18" i="25"/>
  <c r="I17" i="26"/>
  <c r="I18" i="26" s="1"/>
  <c r="H51" i="60"/>
  <c r="H52" i="60"/>
  <c r="I48" i="60" s="1"/>
  <c r="C91" i="43"/>
  <c r="H92" i="29"/>
  <c r="H46" i="29"/>
  <c r="H47" i="29" s="1"/>
  <c r="I42" i="29" s="1"/>
  <c r="I32" i="29"/>
  <c r="C72" i="43"/>
  <c r="U20" i="46"/>
  <c r="C80" i="58"/>
  <c r="P9" i="58"/>
  <c r="E64" i="58"/>
  <c r="P7" i="58"/>
  <c r="C57" i="58"/>
  <c r="C28" i="58"/>
  <c r="P5" i="58"/>
  <c r="Q6" i="58"/>
  <c r="C41" i="58" s="1"/>
  <c r="E35" i="58"/>
  <c r="I33" i="29"/>
  <c r="J29" i="29" s="1"/>
  <c r="E68" i="45"/>
  <c r="I16" i="26"/>
  <c r="I22" i="26" s="1"/>
  <c r="Q6" i="45"/>
  <c r="R6" i="45" s="1"/>
  <c r="V30" i="46" s="1"/>
  <c r="C100" i="58"/>
  <c r="H28" i="17"/>
  <c r="C95" i="45"/>
  <c r="U18" i="46"/>
  <c r="C41" i="43"/>
  <c r="C73" i="58"/>
  <c r="P8" i="58"/>
  <c r="C66" i="29"/>
  <c r="C68" i="29" s="1"/>
  <c r="C65" i="29"/>
  <c r="C67" i="29"/>
  <c r="H26" i="17"/>
  <c r="I24" i="17" s="1"/>
  <c r="H32" i="26"/>
  <c r="E22" i="17"/>
  <c r="I44" i="29" l="1"/>
  <c r="I21" i="26"/>
  <c r="J31" i="29"/>
  <c r="E31" i="29" s="1"/>
  <c r="I30" i="60"/>
  <c r="R7" i="58"/>
  <c r="Q7" i="58"/>
  <c r="C56" i="58" s="1"/>
  <c r="R6" i="58"/>
  <c r="Q9" i="58"/>
  <c r="C79" i="58" s="1"/>
  <c r="I27" i="26"/>
  <c r="I50" i="60"/>
  <c r="Q5" i="58"/>
  <c r="C27" i="58" s="1"/>
  <c r="H24" i="58" s="1"/>
  <c r="R5" i="58"/>
  <c r="H60" i="60"/>
  <c r="H54" i="60"/>
  <c r="H55" i="60"/>
  <c r="H56" i="60"/>
  <c r="I23" i="43"/>
  <c r="I24" i="43" s="1"/>
  <c r="C45" i="45"/>
  <c r="U30" i="46"/>
  <c r="Q8" i="58"/>
  <c r="C72" i="58" s="1"/>
  <c r="C83" i="45"/>
  <c r="U33" i="46"/>
  <c r="I25" i="17"/>
  <c r="I26" i="17" s="1"/>
  <c r="J24" i="17" s="1"/>
  <c r="I37" i="29"/>
  <c r="I45" i="29"/>
  <c r="I91" i="29"/>
  <c r="I35" i="29"/>
  <c r="I36" i="29"/>
  <c r="H31" i="43"/>
  <c r="I21" i="25"/>
  <c r="H36" i="60"/>
  <c r="H35" i="60"/>
  <c r="H34" i="60"/>
  <c r="H40" i="60"/>
  <c r="H50" i="29"/>
  <c r="H49" i="29"/>
  <c r="H51" i="29"/>
  <c r="J25" i="17" l="1"/>
  <c r="J28" i="17" s="1"/>
  <c r="I51" i="43"/>
  <c r="I114" i="43"/>
  <c r="I27" i="43"/>
  <c r="I37" i="43"/>
  <c r="I66" i="43"/>
  <c r="I28" i="43"/>
  <c r="I29" i="43"/>
  <c r="I25" i="43"/>
  <c r="J21" i="43" s="1"/>
  <c r="H38" i="60"/>
  <c r="H28" i="58"/>
  <c r="H27" i="58"/>
  <c r="H66" i="58"/>
  <c r="H29" i="58"/>
  <c r="H37" i="58"/>
  <c r="H114" i="58"/>
  <c r="H25" i="58"/>
  <c r="I21" i="58" s="1"/>
  <c r="R9" i="58"/>
  <c r="J32" i="29"/>
  <c r="R8" i="58"/>
  <c r="H78" i="60"/>
  <c r="H53" i="29"/>
  <c r="J16" i="25"/>
  <c r="I28" i="17"/>
  <c r="J16" i="26"/>
  <c r="I47" i="29"/>
  <c r="J42" i="29" s="1"/>
  <c r="H38" i="43"/>
  <c r="I28" i="26"/>
  <c r="I33" i="26"/>
  <c r="I46" i="29"/>
  <c r="I92" i="29" s="1"/>
  <c r="I51" i="60"/>
  <c r="I39" i="29"/>
  <c r="H58" i="60"/>
  <c r="I31" i="60"/>
  <c r="J91" i="29" l="1"/>
  <c r="E91" i="29" s="1"/>
  <c r="J35" i="29"/>
  <c r="J45" i="29"/>
  <c r="J36" i="29"/>
  <c r="J37" i="29"/>
  <c r="E32" i="29"/>
  <c r="E33" i="29" s="1"/>
  <c r="J23" i="43"/>
  <c r="J24" i="43" s="1"/>
  <c r="I23" i="58"/>
  <c r="I24" i="58" s="1"/>
  <c r="J17" i="25"/>
  <c r="J22" i="25"/>
  <c r="J44" i="29"/>
  <c r="E44" i="29" s="1"/>
  <c r="I29" i="26"/>
  <c r="H57" i="29"/>
  <c r="H58" i="29"/>
  <c r="H56" i="29"/>
  <c r="I54" i="60"/>
  <c r="I55" i="60"/>
  <c r="I60" i="60"/>
  <c r="I56" i="60"/>
  <c r="I31" i="43"/>
  <c r="H67" i="43"/>
  <c r="H52" i="43"/>
  <c r="H43" i="43"/>
  <c r="H42" i="43"/>
  <c r="H41" i="43"/>
  <c r="H115" i="43"/>
  <c r="H39" i="43"/>
  <c r="I34" i="43" s="1"/>
  <c r="J17" i="26"/>
  <c r="J22" i="26" s="1"/>
  <c r="H79" i="60"/>
  <c r="I75" i="60" s="1"/>
  <c r="H81" i="60"/>
  <c r="H83" i="60"/>
  <c r="H82" i="60"/>
  <c r="H87" i="60"/>
  <c r="H31" i="58"/>
  <c r="I49" i="29"/>
  <c r="I53" i="29" s="1"/>
  <c r="I50" i="29"/>
  <c r="I51" i="29"/>
  <c r="I36" i="60"/>
  <c r="I35" i="60"/>
  <c r="I34" i="60"/>
  <c r="I40" i="60"/>
  <c r="I52" i="60"/>
  <c r="J48" i="60" s="1"/>
  <c r="I32" i="60"/>
  <c r="J28" i="60" s="1"/>
  <c r="J26" i="17"/>
  <c r="K24" i="17" s="1"/>
  <c r="J33" i="29"/>
  <c r="I57" i="29" l="1"/>
  <c r="I58" i="29"/>
  <c r="I56" i="29"/>
  <c r="I60" i="29" s="1"/>
  <c r="I27" i="58"/>
  <c r="I28" i="58"/>
  <c r="I114" i="58"/>
  <c r="I29" i="58"/>
  <c r="I66" i="58"/>
  <c r="I37" i="58"/>
  <c r="I25" i="58"/>
  <c r="J21" i="58" s="1"/>
  <c r="J51" i="43"/>
  <c r="J28" i="43"/>
  <c r="J66" i="43"/>
  <c r="J37" i="43"/>
  <c r="J114" i="43"/>
  <c r="J27" i="43"/>
  <c r="J29" i="43"/>
  <c r="I78" i="60"/>
  <c r="I77" i="60"/>
  <c r="J30" i="60"/>
  <c r="J31" i="60" s="1"/>
  <c r="J50" i="60"/>
  <c r="H70" i="29"/>
  <c r="I36" i="43"/>
  <c r="J25" i="43"/>
  <c r="K21" i="43" s="1"/>
  <c r="K25" i="17"/>
  <c r="K26" i="17"/>
  <c r="H60" i="29"/>
  <c r="H45" i="43"/>
  <c r="H79" i="29"/>
  <c r="E37" i="29"/>
  <c r="H78" i="29"/>
  <c r="E36" i="29"/>
  <c r="I78" i="29"/>
  <c r="I32" i="26"/>
  <c r="E45" i="29"/>
  <c r="J18" i="26"/>
  <c r="J39" i="29"/>
  <c r="E35" i="29"/>
  <c r="I58" i="60"/>
  <c r="I38" i="60"/>
  <c r="I70" i="29"/>
  <c r="J18" i="25"/>
  <c r="H85" i="60"/>
  <c r="H53" i="43"/>
  <c r="H54" i="43" s="1"/>
  <c r="I48" i="43" s="1"/>
  <c r="I79" i="29"/>
  <c r="H38" i="58"/>
  <c r="I39" i="43" l="1"/>
  <c r="J34" i="43" s="1"/>
  <c r="J34" i="60"/>
  <c r="J40" i="60"/>
  <c r="J35" i="60"/>
  <c r="J36" i="60"/>
  <c r="I50" i="43"/>
  <c r="H67" i="58"/>
  <c r="H42" i="58"/>
  <c r="H41" i="58"/>
  <c r="H43" i="58"/>
  <c r="H39" i="58"/>
  <c r="I34" i="58" s="1"/>
  <c r="H115" i="58"/>
  <c r="K23" i="43"/>
  <c r="K24" i="43" s="1"/>
  <c r="J31" i="43"/>
  <c r="E39" i="29"/>
  <c r="I38" i="43"/>
  <c r="K28" i="17"/>
  <c r="E28" i="17" s="1"/>
  <c r="E25" i="17"/>
  <c r="I80" i="29"/>
  <c r="J51" i="60"/>
  <c r="J52" i="60" s="1"/>
  <c r="K48" i="60" s="1"/>
  <c r="I31" i="58"/>
  <c r="J21" i="25"/>
  <c r="H116" i="43"/>
  <c r="J32" i="60"/>
  <c r="K28" i="60" s="1"/>
  <c r="J21" i="26"/>
  <c r="I83" i="60"/>
  <c r="I82" i="60"/>
  <c r="I81" i="60"/>
  <c r="I87" i="60"/>
  <c r="H68" i="43"/>
  <c r="H58" i="43"/>
  <c r="H57" i="43"/>
  <c r="H56" i="43"/>
  <c r="H60" i="43" s="1"/>
  <c r="J27" i="26"/>
  <c r="H80" i="29"/>
  <c r="J46" i="29"/>
  <c r="C123" i="29"/>
  <c r="I79" i="60"/>
  <c r="J75" i="60" s="1"/>
  <c r="J23" i="58"/>
  <c r="J25" i="58" s="1"/>
  <c r="K21" i="58" s="1"/>
  <c r="J24" i="58"/>
  <c r="K114" i="43" l="1"/>
  <c r="K51" i="43"/>
  <c r="K27" i="43"/>
  <c r="K28" i="43"/>
  <c r="K37" i="43"/>
  <c r="K29" i="43"/>
  <c r="K66" i="43"/>
  <c r="K25" i="43"/>
  <c r="L21" i="43" s="1"/>
  <c r="K24" i="58"/>
  <c r="K23" i="58"/>
  <c r="K51" i="60"/>
  <c r="K50" i="60"/>
  <c r="K52" i="60" s="1"/>
  <c r="L48" i="60" s="1"/>
  <c r="J36" i="43"/>
  <c r="J77" i="60"/>
  <c r="J78" i="60" s="1"/>
  <c r="H69" i="43"/>
  <c r="H117" i="43" s="1"/>
  <c r="J28" i="26"/>
  <c r="J33" i="26"/>
  <c r="K16" i="25"/>
  <c r="H69" i="58"/>
  <c r="H117" i="58" s="1"/>
  <c r="H70" i="58"/>
  <c r="I63" i="58" s="1"/>
  <c r="J29" i="58"/>
  <c r="J28" i="58"/>
  <c r="J114" i="58"/>
  <c r="J27" i="58"/>
  <c r="J66" i="58"/>
  <c r="J37" i="58"/>
  <c r="K16" i="26"/>
  <c r="I42" i="43"/>
  <c r="I41" i="43"/>
  <c r="I43" i="43"/>
  <c r="I52" i="43"/>
  <c r="I67" i="43"/>
  <c r="I115" i="43"/>
  <c r="I85" i="60"/>
  <c r="J56" i="60"/>
  <c r="J60" i="60"/>
  <c r="J55" i="60"/>
  <c r="J54" i="60"/>
  <c r="I36" i="58"/>
  <c r="I38" i="58"/>
  <c r="J50" i="29"/>
  <c r="J51" i="29"/>
  <c r="J49" i="29"/>
  <c r="E46" i="29"/>
  <c r="E47" i="29" s="1"/>
  <c r="J92" i="29"/>
  <c r="E92" i="29" s="1"/>
  <c r="J47" i="29"/>
  <c r="K31" i="60"/>
  <c r="K32" i="60" s="1"/>
  <c r="L28" i="60" s="1"/>
  <c r="K30" i="60"/>
  <c r="H45" i="58"/>
  <c r="J38" i="60"/>
  <c r="L50" i="60" l="1"/>
  <c r="L51" i="60"/>
  <c r="L52" i="60" s="1"/>
  <c r="M48" i="60" s="1"/>
  <c r="L30" i="60"/>
  <c r="L31" i="60"/>
  <c r="L32" i="60"/>
  <c r="M28" i="60" s="1"/>
  <c r="J81" i="60"/>
  <c r="J82" i="60"/>
  <c r="J83" i="60"/>
  <c r="J87" i="60"/>
  <c r="J79" i="60"/>
  <c r="K75" i="60" s="1"/>
  <c r="J31" i="58"/>
  <c r="I39" i="58"/>
  <c r="J34" i="58" s="1"/>
  <c r="K17" i="26"/>
  <c r="L23" i="43"/>
  <c r="L25" i="43" s="1"/>
  <c r="M21" i="43" s="1"/>
  <c r="L24" i="43"/>
  <c r="J29" i="26"/>
  <c r="J58" i="60"/>
  <c r="I65" i="58"/>
  <c r="J38" i="43"/>
  <c r="I42" i="58"/>
  <c r="I67" i="58"/>
  <c r="I43" i="58"/>
  <c r="I41" i="58"/>
  <c r="I115" i="58"/>
  <c r="K35" i="60"/>
  <c r="K36" i="60"/>
  <c r="K40" i="60"/>
  <c r="K34" i="60"/>
  <c r="H74" i="58"/>
  <c r="H73" i="58"/>
  <c r="H72" i="58"/>
  <c r="H74" i="43"/>
  <c r="H73" i="43"/>
  <c r="H72" i="43"/>
  <c r="H70" i="43"/>
  <c r="I63" i="43" s="1"/>
  <c r="E50" i="29"/>
  <c r="K55" i="60"/>
  <c r="K54" i="60"/>
  <c r="K58" i="60" s="1"/>
  <c r="K56" i="60"/>
  <c r="K60" i="60"/>
  <c r="E49" i="29"/>
  <c r="C124" i="29" s="1"/>
  <c r="J53" i="29"/>
  <c r="K29" i="58"/>
  <c r="K27" i="58"/>
  <c r="K114" i="58"/>
  <c r="K66" i="58"/>
  <c r="K37" i="58"/>
  <c r="K28" i="58"/>
  <c r="K31" i="43"/>
  <c r="E51" i="29"/>
  <c r="I45" i="43"/>
  <c r="I53" i="43" s="1"/>
  <c r="K17" i="25"/>
  <c r="K22" i="25"/>
  <c r="K25" i="58"/>
  <c r="L21" i="58" s="1"/>
  <c r="I58" i="43" l="1"/>
  <c r="I68" i="43"/>
  <c r="I57" i="43"/>
  <c r="I56" i="43"/>
  <c r="I54" i="43"/>
  <c r="J48" i="43" s="1"/>
  <c r="I116" i="43"/>
  <c r="M50" i="60"/>
  <c r="M51" i="60"/>
  <c r="M52" i="60" s="1"/>
  <c r="N48" i="60" s="1"/>
  <c r="M23" i="43"/>
  <c r="J58" i="29"/>
  <c r="J56" i="29"/>
  <c r="J57" i="29"/>
  <c r="E53" i="29"/>
  <c r="L36" i="60"/>
  <c r="L35" i="60"/>
  <c r="L34" i="60"/>
  <c r="L38" i="60" s="1"/>
  <c r="L40" i="60"/>
  <c r="I65" i="43"/>
  <c r="I69" i="43" s="1"/>
  <c r="L66" i="43"/>
  <c r="L29" i="43"/>
  <c r="L28" i="43"/>
  <c r="L51" i="43"/>
  <c r="L37" i="43"/>
  <c r="L114" i="43"/>
  <c r="L27" i="43"/>
  <c r="J32" i="26"/>
  <c r="M30" i="60"/>
  <c r="M31" i="60" s="1"/>
  <c r="J85" i="60"/>
  <c r="K38" i="60"/>
  <c r="L56" i="60"/>
  <c r="L60" i="60"/>
  <c r="L54" i="60"/>
  <c r="L55" i="60"/>
  <c r="J52" i="43"/>
  <c r="J43" i="43"/>
  <c r="J67" i="43"/>
  <c r="J42" i="43"/>
  <c r="J41" i="43"/>
  <c r="J115" i="43"/>
  <c r="J39" i="43"/>
  <c r="K34" i="43" s="1"/>
  <c r="K18" i="26"/>
  <c r="K77" i="60"/>
  <c r="K79" i="60" s="1"/>
  <c r="L75" i="60" s="1"/>
  <c r="K78" i="60"/>
  <c r="I70" i="58"/>
  <c r="J63" i="58" s="1"/>
  <c r="K31" i="58"/>
  <c r="H76" i="43"/>
  <c r="K22" i="26"/>
  <c r="I45" i="58"/>
  <c r="H76" i="58"/>
  <c r="I60" i="43"/>
  <c r="K18" i="25"/>
  <c r="I69" i="58"/>
  <c r="L23" i="58"/>
  <c r="L24" i="58" s="1"/>
  <c r="J36" i="58"/>
  <c r="J38" i="58" s="1"/>
  <c r="I73" i="43" l="1"/>
  <c r="I74" i="43"/>
  <c r="I72" i="43"/>
  <c r="L29" i="58"/>
  <c r="L28" i="58"/>
  <c r="L114" i="58"/>
  <c r="L27" i="58"/>
  <c r="L37" i="58"/>
  <c r="L66" i="58"/>
  <c r="L25" i="58"/>
  <c r="M21" i="58" s="1"/>
  <c r="N50" i="60"/>
  <c r="M36" i="60"/>
  <c r="M40" i="60"/>
  <c r="M35" i="60"/>
  <c r="M34" i="60"/>
  <c r="M32" i="60"/>
  <c r="N28" i="60" s="1"/>
  <c r="J42" i="58"/>
  <c r="J67" i="58"/>
  <c r="J43" i="58"/>
  <c r="J41" i="58"/>
  <c r="J115" i="58"/>
  <c r="L77" i="60"/>
  <c r="L78" i="60" s="1"/>
  <c r="L31" i="43"/>
  <c r="E57" i="29"/>
  <c r="J78" i="29"/>
  <c r="J65" i="58"/>
  <c r="J60" i="29"/>
  <c r="E60" i="29" s="1"/>
  <c r="K21" i="26"/>
  <c r="E56" i="29"/>
  <c r="J70" i="29"/>
  <c r="J50" i="43"/>
  <c r="M54" i="60"/>
  <c r="M58" i="60" s="1"/>
  <c r="M60" i="60"/>
  <c r="M55" i="60"/>
  <c r="M56" i="60"/>
  <c r="I76" i="43"/>
  <c r="E58" i="29"/>
  <c r="J79" i="29"/>
  <c r="C79" i="29" s="1"/>
  <c r="I70" i="43"/>
  <c r="J63" i="43" s="1"/>
  <c r="K36" i="43"/>
  <c r="K38" i="43"/>
  <c r="K27" i="26"/>
  <c r="J39" i="58"/>
  <c r="K34" i="58" s="1"/>
  <c r="H80" i="43"/>
  <c r="H81" i="43"/>
  <c r="H79" i="43"/>
  <c r="H83" i="43" s="1"/>
  <c r="K21" i="25"/>
  <c r="H81" i="58"/>
  <c r="H80" i="58"/>
  <c r="H79" i="58"/>
  <c r="M24" i="43"/>
  <c r="I117" i="43"/>
  <c r="I73" i="58"/>
  <c r="I74" i="58"/>
  <c r="I72" i="58"/>
  <c r="L58" i="60"/>
  <c r="K87" i="60"/>
  <c r="K81" i="60"/>
  <c r="K83" i="60"/>
  <c r="K82" i="60"/>
  <c r="J45" i="43"/>
  <c r="I117" i="58"/>
  <c r="L81" i="60" l="1"/>
  <c r="L85" i="60" s="1"/>
  <c r="L82" i="60"/>
  <c r="L83" i="60"/>
  <c r="L87" i="60"/>
  <c r="L79" i="60"/>
  <c r="M75" i="60" s="1"/>
  <c r="J45" i="58"/>
  <c r="M66" i="43"/>
  <c r="M28" i="43"/>
  <c r="M27" i="43"/>
  <c r="M37" i="43"/>
  <c r="M51" i="43"/>
  <c r="M114" i="43"/>
  <c r="M29" i="43"/>
  <c r="C73" i="29"/>
  <c r="C72" i="29"/>
  <c r="C71" i="29"/>
  <c r="I81" i="43"/>
  <c r="I102" i="43" s="1"/>
  <c r="I19" i="45" s="1"/>
  <c r="I80" i="43"/>
  <c r="I101" i="43" s="1"/>
  <c r="I79" i="43"/>
  <c r="I93" i="43" s="1"/>
  <c r="I113" i="45" s="1"/>
  <c r="L16" i="26"/>
  <c r="L31" i="58"/>
  <c r="K85" i="60"/>
  <c r="H93" i="43"/>
  <c r="H102" i="43"/>
  <c r="J117" i="58"/>
  <c r="H101" i="43"/>
  <c r="N30" i="60"/>
  <c r="C125" i="29"/>
  <c r="H93" i="58"/>
  <c r="M38" i="60"/>
  <c r="J70" i="58"/>
  <c r="K63" i="58" s="1"/>
  <c r="I76" i="58"/>
  <c r="H83" i="58"/>
  <c r="K39" i="43"/>
  <c r="L34" i="43" s="1"/>
  <c r="J53" i="43"/>
  <c r="M25" i="43"/>
  <c r="N21" i="43" s="1"/>
  <c r="H101" i="58"/>
  <c r="J65" i="43"/>
  <c r="K36" i="58"/>
  <c r="J69" i="58"/>
  <c r="N51" i="60"/>
  <c r="N52" i="60" s="1"/>
  <c r="O48" i="60" s="1"/>
  <c r="K28" i="26"/>
  <c r="K33" i="26"/>
  <c r="M23" i="58"/>
  <c r="M24" i="58"/>
  <c r="M25" i="58"/>
  <c r="N21" i="58" s="1"/>
  <c r="K41" i="43"/>
  <c r="K67" i="43"/>
  <c r="K42" i="43"/>
  <c r="K43" i="43"/>
  <c r="K52" i="43"/>
  <c r="K115" i="43"/>
  <c r="H102" i="58"/>
  <c r="L16" i="25"/>
  <c r="J80" i="29"/>
  <c r="C78" i="29"/>
  <c r="O50" i="60" l="1"/>
  <c r="O51" i="60" s="1"/>
  <c r="K45" i="43"/>
  <c r="F16" i="26"/>
  <c r="L17" i="26"/>
  <c r="L22" i="26"/>
  <c r="F22" i="26" s="1"/>
  <c r="H19" i="45"/>
  <c r="I83" i="43"/>
  <c r="J57" i="43"/>
  <c r="J68" i="43"/>
  <c r="J56" i="43"/>
  <c r="J58" i="43"/>
  <c r="J54" i="43"/>
  <c r="K48" i="43" s="1"/>
  <c r="J116" i="43"/>
  <c r="K35" i="26"/>
  <c r="K29" i="26"/>
  <c r="H113" i="45"/>
  <c r="I103" i="43"/>
  <c r="I18" i="45"/>
  <c r="M77" i="60"/>
  <c r="M78" i="60" s="1"/>
  <c r="I81" i="58"/>
  <c r="I80" i="58"/>
  <c r="I79" i="58"/>
  <c r="I83" i="58" s="1"/>
  <c r="D125" i="29"/>
  <c r="C126" i="29"/>
  <c r="C80" i="29"/>
  <c r="C82" i="29"/>
  <c r="C83" i="29"/>
  <c r="H103" i="58"/>
  <c r="K65" i="58"/>
  <c r="N31" i="60"/>
  <c r="N56" i="60"/>
  <c r="N60" i="60"/>
  <c r="N54" i="60"/>
  <c r="N55" i="60"/>
  <c r="C74" i="29"/>
  <c r="C86" i="29"/>
  <c r="E98" i="29"/>
  <c r="E97" i="29" s="1"/>
  <c r="M31" i="43"/>
  <c r="M66" i="58"/>
  <c r="M37" i="58"/>
  <c r="M29" i="58"/>
  <c r="M28" i="58"/>
  <c r="M114" i="58"/>
  <c r="M27" i="58"/>
  <c r="F16" i="25"/>
  <c r="L17" i="25"/>
  <c r="L22" i="25" s="1"/>
  <c r="F22" i="25" s="1"/>
  <c r="H103" i="43"/>
  <c r="H18" i="45"/>
  <c r="N23" i="58"/>
  <c r="N25" i="58" s="1"/>
  <c r="O21" i="58" s="1"/>
  <c r="N24" i="58"/>
  <c r="L38" i="43"/>
  <c r="L36" i="43"/>
  <c r="L39" i="43" s="1"/>
  <c r="M34" i="43" s="1"/>
  <c r="J74" i="58"/>
  <c r="J73" i="58"/>
  <c r="J72" i="58"/>
  <c r="K38" i="58"/>
  <c r="N23" i="43"/>
  <c r="N24" i="43"/>
  <c r="N25" i="43"/>
  <c r="O21" i="43" s="1"/>
  <c r="M87" i="60" l="1"/>
  <c r="M81" i="60"/>
  <c r="M82" i="60"/>
  <c r="M83" i="60"/>
  <c r="M36" i="43"/>
  <c r="M39" i="43" s="1"/>
  <c r="N34" i="43" s="1"/>
  <c r="M38" i="43"/>
  <c r="O24" i="58"/>
  <c r="O25" i="58"/>
  <c r="P21" i="58" s="1"/>
  <c r="O23" i="58"/>
  <c r="O54" i="60"/>
  <c r="O60" i="60"/>
  <c r="O56" i="60"/>
  <c r="O55" i="60"/>
  <c r="O52" i="60"/>
  <c r="P48" i="60" s="1"/>
  <c r="K67" i="58"/>
  <c r="K43" i="58"/>
  <c r="K42" i="58"/>
  <c r="K41" i="58"/>
  <c r="K115" i="58"/>
  <c r="K39" i="58"/>
  <c r="L34" i="58" s="1"/>
  <c r="I102" i="58"/>
  <c r="O23" i="43"/>
  <c r="O24" i="43"/>
  <c r="O25" i="43" s="1"/>
  <c r="P21" i="43" s="1"/>
  <c r="N114" i="43"/>
  <c r="N66" i="43"/>
  <c r="N51" i="43"/>
  <c r="N27" i="43"/>
  <c r="N29" i="43"/>
  <c r="N28" i="43"/>
  <c r="N37" i="43"/>
  <c r="I101" i="58"/>
  <c r="K32" i="26"/>
  <c r="N66" i="58"/>
  <c r="N29" i="58"/>
  <c r="N27" i="58"/>
  <c r="N37" i="58"/>
  <c r="N114" i="58"/>
  <c r="N28" i="58"/>
  <c r="N40" i="60"/>
  <c r="N34" i="60"/>
  <c r="N38" i="60" s="1"/>
  <c r="N35" i="60"/>
  <c r="N36" i="60"/>
  <c r="F17" i="26"/>
  <c r="L18" i="26"/>
  <c r="L41" i="43"/>
  <c r="L52" i="43"/>
  <c r="L67" i="43"/>
  <c r="L42" i="43"/>
  <c r="L43" i="43"/>
  <c r="L115" i="43"/>
  <c r="J60" i="43"/>
  <c r="M79" i="60"/>
  <c r="N75" i="60" s="1"/>
  <c r="N32" i="60"/>
  <c r="O28" i="60" s="1"/>
  <c r="M31" i="58"/>
  <c r="J76" i="58"/>
  <c r="C84" i="29"/>
  <c r="I93" i="58"/>
  <c r="N58" i="60"/>
  <c r="H20" i="45"/>
  <c r="H28" i="45"/>
  <c r="C128" i="29"/>
  <c r="D123" i="29"/>
  <c r="D126" i="29" s="1"/>
  <c r="D124" i="29"/>
  <c r="I20" i="45"/>
  <c r="F17" i="25"/>
  <c r="L18" i="25"/>
  <c r="K50" i="43"/>
  <c r="K53" i="43" s="1"/>
  <c r="P23" i="43" l="1"/>
  <c r="P24" i="43" s="1"/>
  <c r="K58" i="43"/>
  <c r="K57" i="43"/>
  <c r="K68" i="43"/>
  <c r="K56" i="43"/>
  <c r="K116" i="43"/>
  <c r="N36" i="43"/>
  <c r="N38" i="43" s="1"/>
  <c r="O66" i="58"/>
  <c r="O37" i="58"/>
  <c r="O29" i="58"/>
  <c r="O28" i="58"/>
  <c r="O27" i="58"/>
  <c r="O114" i="58"/>
  <c r="K54" i="43"/>
  <c r="L48" i="43" s="1"/>
  <c r="L36" i="58"/>
  <c r="H120" i="45"/>
  <c r="H33" i="45"/>
  <c r="H55" i="45"/>
  <c r="H41" i="45"/>
  <c r="H70" i="45"/>
  <c r="H32" i="45"/>
  <c r="H31" i="45"/>
  <c r="H29" i="45"/>
  <c r="I25" i="45" s="1"/>
  <c r="L27" i="26"/>
  <c r="M42" i="43"/>
  <c r="M41" i="43"/>
  <c r="M67" i="43"/>
  <c r="M52" i="43"/>
  <c r="M43" i="43"/>
  <c r="M115" i="43"/>
  <c r="K45" i="58"/>
  <c r="J81" i="58"/>
  <c r="J80" i="58"/>
  <c r="J79" i="58"/>
  <c r="J83" i="58" s="1"/>
  <c r="I103" i="58"/>
  <c r="F18" i="25"/>
  <c r="L21" i="25"/>
  <c r="F21" i="25" s="1"/>
  <c r="O31" i="60"/>
  <c r="O30" i="60"/>
  <c r="O32" i="60" s="1"/>
  <c r="P28" i="60" s="1"/>
  <c r="L45" i="43"/>
  <c r="N31" i="58"/>
  <c r="M85" i="60"/>
  <c r="P23" i="58"/>
  <c r="P24" i="58" s="1"/>
  <c r="P50" i="60"/>
  <c r="P51" i="60" s="1"/>
  <c r="J69" i="43"/>
  <c r="O37" i="43"/>
  <c r="O66" i="43"/>
  <c r="O27" i="43"/>
  <c r="O114" i="43"/>
  <c r="O51" i="43"/>
  <c r="O29" i="43"/>
  <c r="O28" i="43"/>
  <c r="N78" i="60"/>
  <c r="N79" i="60" s="1"/>
  <c r="O75" i="60" s="1"/>
  <c r="N77" i="60"/>
  <c r="F18" i="26"/>
  <c r="L21" i="26"/>
  <c r="F21" i="26" s="1"/>
  <c r="N31" i="43"/>
  <c r="O58" i="60"/>
  <c r="K69" i="58"/>
  <c r="P30" i="60" l="1"/>
  <c r="P31" i="60" s="1"/>
  <c r="P66" i="58"/>
  <c r="P29" i="58"/>
  <c r="P28" i="58"/>
  <c r="P37" i="58"/>
  <c r="P114" i="58"/>
  <c r="P27" i="58"/>
  <c r="O79" i="60"/>
  <c r="P75" i="60" s="1"/>
  <c r="O78" i="60"/>
  <c r="O77" i="60"/>
  <c r="P56" i="60"/>
  <c r="P60" i="60"/>
  <c r="P55" i="60"/>
  <c r="P54" i="60"/>
  <c r="N67" i="43"/>
  <c r="N52" i="43"/>
  <c r="N41" i="43"/>
  <c r="N43" i="43"/>
  <c r="N42" i="43"/>
  <c r="N115" i="43"/>
  <c r="P114" i="43"/>
  <c r="P51" i="43"/>
  <c r="P28" i="43"/>
  <c r="P37" i="43"/>
  <c r="P27" i="43"/>
  <c r="P66" i="43"/>
  <c r="P29" i="43"/>
  <c r="J72" i="43"/>
  <c r="J73" i="43"/>
  <c r="J74" i="43"/>
  <c r="J117" i="43"/>
  <c r="J70" i="43"/>
  <c r="K63" i="43" s="1"/>
  <c r="F27" i="26"/>
  <c r="L28" i="26"/>
  <c r="L38" i="58"/>
  <c r="L39" i="58" s="1"/>
  <c r="M34" i="58" s="1"/>
  <c r="N39" i="43"/>
  <c r="O34" i="43" s="1"/>
  <c r="H35" i="45"/>
  <c r="P52" i="60"/>
  <c r="Q48" i="60" s="1"/>
  <c r="N81" i="60"/>
  <c r="N85" i="60" s="1"/>
  <c r="N83" i="60"/>
  <c r="N87" i="60"/>
  <c r="N82" i="60"/>
  <c r="I29" i="45"/>
  <c r="J25" i="45" s="1"/>
  <c r="I27" i="45"/>
  <c r="I28" i="45"/>
  <c r="L50" i="43"/>
  <c r="L53" i="43"/>
  <c r="L54" i="43"/>
  <c r="M48" i="43" s="1"/>
  <c r="K60" i="43"/>
  <c r="K73" i="58"/>
  <c r="K72" i="58"/>
  <c r="K74" i="58"/>
  <c r="K70" i="58"/>
  <c r="L63" i="58" s="1"/>
  <c r="P25" i="58"/>
  <c r="Q21" i="58" s="1"/>
  <c r="M45" i="43"/>
  <c r="O31" i="43"/>
  <c r="J101" i="58"/>
  <c r="O36" i="60"/>
  <c r="O40" i="60"/>
  <c r="O34" i="60"/>
  <c r="O35" i="60"/>
  <c r="O31" i="58"/>
  <c r="J102" i="58"/>
  <c r="K117" i="58"/>
  <c r="H42" i="45"/>
  <c r="H121" i="45" s="1"/>
  <c r="P25" i="43"/>
  <c r="Q21" i="43" s="1"/>
  <c r="J93" i="58"/>
  <c r="M36" i="58" l="1"/>
  <c r="M38" i="58"/>
  <c r="M39" i="58" s="1"/>
  <c r="N34" i="58" s="1"/>
  <c r="P36" i="60"/>
  <c r="P34" i="60"/>
  <c r="P40" i="60"/>
  <c r="P35" i="60"/>
  <c r="P32" i="60"/>
  <c r="Q28" i="60" s="1"/>
  <c r="O81" i="60"/>
  <c r="O82" i="60"/>
  <c r="O83" i="60"/>
  <c r="O87" i="60"/>
  <c r="K76" i="58"/>
  <c r="J76" i="43"/>
  <c r="P77" i="60"/>
  <c r="P79" i="60" s="1"/>
  <c r="Q75" i="60" s="1"/>
  <c r="P78" i="60"/>
  <c r="I55" i="45"/>
  <c r="I33" i="45"/>
  <c r="I32" i="45"/>
  <c r="I41" i="45"/>
  <c r="I70" i="45"/>
  <c r="I31" i="45"/>
  <c r="I120" i="45"/>
  <c r="H45" i="45"/>
  <c r="H46" i="45"/>
  <c r="H56" i="45"/>
  <c r="H47" i="45"/>
  <c r="H49" i="45" s="1"/>
  <c r="H71" i="45"/>
  <c r="O36" i="43"/>
  <c r="O38" i="43"/>
  <c r="P58" i="60"/>
  <c r="Q23" i="43"/>
  <c r="P31" i="58"/>
  <c r="J27" i="45"/>
  <c r="P31" i="43"/>
  <c r="J103" i="58"/>
  <c r="L58" i="43"/>
  <c r="L56" i="43"/>
  <c r="L57" i="43"/>
  <c r="L68" i="43"/>
  <c r="L116" i="43"/>
  <c r="F28" i="26"/>
  <c r="L29" i="26"/>
  <c r="M50" i="43"/>
  <c r="M53" i="43" s="1"/>
  <c r="O38" i="60"/>
  <c r="L33" i="26"/>
  <c r="F33" i="26" s="1"/>
  <c r="Q50" i="60"/>
  <c r="Q51" i="60" s="1"/>
  <c r="N45" i="43"/>
  <c r="Q23" i="58"/>
  <c r="Q25" i="58" s="1"/>
  <c r="R21" i="58" s="1"/>
  <c r="Q24" i="58"/>
  <c r="H43" i="45"/>
  <c r="I38" i="45" s="1"/>
  <c r="L42" i="58"/>
  <c r="L43" i="58"/>
  <c r="L67" i="58"/>
  <c r="L41" i="58"/>
  <c r="L115" i="58"/>
  <c r="L65" i="58"/>
  <c r="L69" i="58" s="1"/>
  <c r="K65" i="43"/>
  <c r="R23" i="58" l="1"/>
  <c r="M58" i="43"/>
  <c r="M57" i="43"/>
  <c r="M56" i="43"/>
  <c r="M68" i="43"/>
  <c r="M116" i="43"/>
  <c r="M54" i="43"/>
  <c r="N48" i="43" s="1"/>
  <c r="Q25" i="43"/>
  <c r="R21" i="43" s="1"/>
  <c r="Q54" i="60"/>
  <c r="Q58" i="60" s="1"/>
  <c r="Q60" i="60"/>
  <c r="Q55" i="60"/>
  <c r="Q56" i="60"/>
  <c r="Q52" i="60"/>
  <c r="R48" i="60" s="1"/>
  <c r="N36" i="58"/>
  <c r="N38" i="58" s="1"/>
  <c r="L72" i="58"/>
  <c r="L73" i="58"/>
  <c r="L74" i="58"/>
  <c r="Q78" i="60"/>
  <c r="Q77" i="60"/>
  <c r="Q79" i="60"/>
  <c r="R75" i="60" s="1"/>
  <c r="F29" i="26"/>
  <c r="L32" i="26"/>
  <c r="F32" i="26" s="1"/>
  <c r="P82" i="60"/>
  <c r="P83" i="60"/>
  <c r="P87" i="60"/>
  <c r="P81" i="60"/>
  <c r="L70" i="58"/>
  <c r="M63" i="58" s="1"/>
  <c r="L35" i="26"/>
  <c r="Q30" i="60"/>
  <c r="Q31" i="60" s="1"/>
  <c r="I40" i="45"/>
  <c r="I42" i="45" s="1"/>
  <c r="L45" i="58"/>
  <c r="O67" i="43"/>
  <c r="O42" i="43"/>
  <c r="O52" i="43"/>
  <c r="O43" i="43"/>
  <c r="O41" i="43"/>
  <c r="O115" i="43"/>
  <c r="O39" i="43"/>
  <c r="P34" i="43" s="1"/>
  <c r="K81" i="58"/>
  <c r="K80" i="58"/>
  <c r="K79" i="58"/>
  <c r="P38" i="60"/>
  <c r="Q24" i="43"/>
  <c r="I35" i="45"/>
  <c r="H57" i="45"/>
  <c r="H122" i="45" s="1"/>
  <c r="H58" i="45"/>
  <c r="I52" i="45" s="1"/>
  <c r="K69" i="43"/>
  <c r="L60" i="43"/>
  <c r="Q27" i="58"/>
  <c r="Q66" i="58"/>
  <c r="Q114" i="58"/>
  <c r="Q37" i="58"/>
  <c r="Q29" i="58"/>
  <c r="Q28" i="58"/>
  <c r="M67" i="58"/>
  <c r="M43" i="58"/>
  <c r="M42" i="58"/>
  <c r="M41" i="58"/>
  <c r="M115" i="58"/>
  <c r="L117" i="58"/>
  <c r="J81" i="43"/>
  <c r="J83" i="43"/>
  <c r="J80" i="43"/>
  <c r="J79" i="43"/>
  <c r="O85" i="60"/>
  <c r="I56" i="45" l="1"/>
  <c r="I47" i="45"/>
  <c r="I46" i="45"/>
  <c r="I71" i="45"/>
  <c r="I45" i="45"/>
  <c r="I121" i="45"/>
  <c r="N67" i="58"/>
  <c r="N43" i="58"/>
  <c r="N42" i="58"/>
  <c r="N41" i="58"/>
  <c r="N115" i="58"/>
  <c r="N39" i="58"/>
  <c r="O34" i="58" s="1"/>
  <c r="Q36" i="60"/>
  <c r="Q40" i="60"/>
  <c r="Q34" i="60"/>
  <c r="Q35" i="60"/>
  <c r="J101" i="43"/>
  <c r="Q32" i="60"/>
  <c r="R28" i="60" s="1"/>
  <c r="K93" i="58"/>
  <c r="K101" i="58"/>
  <c r="I49" i="45"/>
  <c r="I57" i="45" s="1"/>
  <c r="Q29" i="43"/>
  <c r="Q114" i="43"/>
  <c r="Q51" i="43"/>
  <c r="Q28" i="43"/>
  <c r="Q66" i="43"/>
  <c r="Q37" i="43"/>
  <c r="Q27" i="43"/>
  <c r="K74" i="43"/>
  <c r="K73" i="43"/>
  <c r="K72" i="43"/>
  <c r="K117" i="43"/>
  <c r="K102" i="58"/>
  <c r="J102" i="43"/>
  <c r="N50" i="43"/>
  <c r="N53" i="43" s="1"/>
  <c r="K83" i="58"/>
  <c r="M60" i="43"/>
  <c r="M65" i="58"/>
  <c r="R23" i="43"/>
  <c r="I54" i="45"/>
  <c r="R77" i="60"/>
  <c r="R78" i="60"/>
  <c r="R79" i="60"/>
  <c r="S75" i="60" s="1"/>
  <c r="R50" i="60"/>
  <c r="K70" i="43"/>
  <c r="L63" i="43" s="1"/>
  <c r="P85" i="60"/>
  <c r="R24" i="58"/>
  <c r="R25" i="58" s="1"/>
  <c r="S21" i="58" s="1"/>
  <c r="L76" i="58"/>
  <c r="H60" i="45"/>
  <c r="H62" i="45"/>
  <c r="H72" i="45"/>
  <c r="H61" i="45"/>
  <c r="Q82" i="60"/>
  <c r="Q87" i="60"/>
  <c r="Q81" i="60"/>
  <c r="Q83" i="60"/>
  <c r="M45" i="58"/>
  <c r="P36" i="43"/>
  <c r="P38" i="43"/>
  <c r="P39" i="43" s="1"/>
  <c r="Q34" i="43" s="1"/>
  <c r="J93" i="43"/>
  <c r="Q31" i="58"/>
  <c r="O45" i="43"/>
  <c r="I43" i="45"/>
  <c r="J38" i="45" s="1"/>
  <c r="Q36" i="43" l="1"/>
  <c r="N68" i="43"/>
  <c r="N57" i="43"/>
  <c r="N58" i="43"/>
  <c r="N56" i="43"/>
  <c r="N116" i="43"/>
  <c r="R25" i="43"/>
  <c r="S21" i="43" s="1"/>
  <c r="I62" i="45"/>
  <c r="I72" i="45"/>
  <c r="I60" i="45"/>
  <c r="I61" i="45"/>
  <c r="S25" i="58"/>
  <c r="S23" i="58"/>
  <c r="E23" i="58" s="1"/>
  <c r="S24" i="58"/>
  <c r="I58" i="45"/>
  <c r="J52" i="45" s="1"/>
  <c r="K76" i="43"/>
  <c r="R51" i="60"/>
  <c r="R24" i="43"/>
  <c r="N54" i="43"/>
  <c r="O48" i="43" s="1"/>
  <c r="L65" i="43"/>
  <c r="L69" i="43" s="1"/>
  <c r="H73" i="45"/>
  <c r="H74" i="45" s="1"/>
  <c r="I67" i="45" s="1"/>
  <c r="J40" i="45"/>
  <c r="H64" i="45"/>
  <c r="K103" i="58"/>
  <c r="Q38" i="60"/>
  <c r="Q31" i="43"/>
  <c r="J18" i="45"/>
  <c r="J103" i="43"/>
  <c r="P52" i="43"/>
  <c r="P41" i="43"/>
  <c r="P67" i="43"/>
  <c r="P42" i="43"/>
  <c r="P43" i="43"/>
  <c r="P115" i="43"/>
  <c r="J19" i="45"/>
  <c r="O36" i="58"/>
  <c r="R81" i="60"/>
  <c r="R82" i="60"/>
  <c r="R83" i="60"/>
  <c r="R87" i="60"/>
  <c r="Q85" i="60"/>
  <c r="L81" i="58"/>
  <c r="L80" i="58"/>
  <c r="L79" i="58"/>
  <c r="L83" i="58" s="1"/>
  <c r="M69" i="58"/>
  <c r="M70" i="58" s="1"/>
  <c r="N63" i="58" s="1"/>
  <c r="I122" i="45"/>
  <c r="S77" i="60"/>
  <c r="E77" i="60" s="1"/>
  <c r="S78" i="60"/>
  <c r="J113" i="45"/>
  <c r="R27" i="58"/>
  <c r="R66" i="58"/>
  <c r="R114" i="58"/>
  <c r="R29" i="58"/>
  <c r="R37" i="58"/>
  <c r="R28" i="58"/>
  <c r="R30" i="60"/>
  <c r="N45" i="58"/>
  <c r="I69" i="45" l="1"/>
  <c r="R32" i="60"/>
  <c r="S28" i="60" s="1"/>
  <c r="N65" i="58"/>
  <c r="N69" i="58" s="1"/>
  <c r="L74" i="43"/>
  <c r="L73" i="43"/>
  <c r="L72" i="43"/>
  <c r="L117" i="43"/>
  <c r="S23" i="43"/>
  <c r="E23" i="43" s="1"/>
  <c r="S24" i="43"/>
  <c r="R31" i="60"/>
  <c r="L101" i="58"/>
  <c r="O38" i="58"/>
  <c r="S81" i="60"/>
  <c r="S82" i="60"/>
  <c r="E82" i="60" s="1"/>
  <c r="S83" i="60"/>
  <c r="E83" i="60" s="1"/>
  <c r="S87" i="60"/>
  <c r="C87" i="60" s="1"/>
  <c r="E78" i="60"/>
  <c r="E79" i="60" s="1"/>
  <c r="R56" i="60"/>
  <c r="R54" i="60"/>
  <c r="R55" i="60"/>
  <c r="R60" i="60"/>
  <c r="J54" i="45"/>
  <c r="N60" i="43"/>
  <c r="P45" i="43"/>
  <c r="H123" i="45"/>
  <c r="S66" i="58"/>
  <c r="S37" i="58"/>
  <c r="S29" i="58"/>
  <c r="S28" i="58"/>
  <c r="S27" i="58"/>
  <c r="S114" i="58"/>
  <c r="E114" i="58" s="1"/>
  <c r="E24" i="58"/>
  <c r="E25" i="58" s="1"/>
  <c r="L102" i="58"/>
  <c r="R66" i="43"/>
  <c r="R29" i="43"/>
  <c r="R114" i="43"/>
  <c r="R28" i="43"/>
  <c r="R37" i="43"/>
  <c r="R51" i="43"/>
  <c r="R27" i="43"/>
  <c r="S79" i="60"/>
  <c r="J28" i="45"/>
  <c r="J20" i="45"/>
  <c r="I64" i="45"/>
  <c r="R52" i="60"/>
  <c r="S48" i="60" s="1"/>
  <c r="H78" i="45"/>
  <c r="H77" i="45"/>
  <c r="H76" i="45"/>
  <c r="H80" i="45"/>
  <c r="L70" i="43"/>
  <c r="M63" i="43" s="1"/>
  <c r="R31" i="58"/>
  <c r="K81" i="43"/>
  <c r="K80" i="43"/>
  <c r="K79" i="43"/>
  <c r="K83" i="43" s="1"/>
  <c r="Q38" i="43"/>
  <c r="R85" i="60"/>
  <c r="L93" i="58"/>
  <c r="O50" i="43"/>
  <c r="O53" i="43" s="1"/>
  <c r="M74" i="58"/>
  <c r="M72" i="58"/>
  <c r="M73" i="58"/>
  <c r="M117" i="58"/>
  <c r="O68" i="43" l="1"/>
  <c r="O58" i="43"/>
  <c r="O56" i="43"/>
  <c r="O57" i="43"/>
  <c r="O116" i="43"/>
  <c r="N74" i="58"/>
  <c r="N73" i="58"/>
  <c r="N72" i="58"/>
  <c r="N117" i="58"/>
  <c r="H85" i="45"/>
  <c r="H84" i="45"/>
  <c r="H83" i="45"/>
  <c r="Q67" i="43"/>
  <c r="Q43" i="43"/>
  <c r="Q41" i="43"/>
  <c r="Q42" i="43"/>
  <c r="Q52" i="43"/>
  <c r="Q115" i="43"/>
  <c r="S85" i="60"/>
  <c r="E85" i="60" s="1"/>
  <c r="E81" i="60"/>
  <c r="L76" i="43"/>
  <c r="E28" i="58"/>
  <c r="M65" i="43"/>
  <c r="M69" i="43"/>
  <c r="R58" i="60"/>
  <c r="S28" i="43"/>
  <c r="S27" i="43"/>
  <c r="S66" i="43"/>
  <c r="S51" i="43"/>
  <c r="S37" i="43"/>
  <c r="S29" i="43"/>
  <c r="S114" i="43"/>
  <c r="E114" i="43" s="1"/>
  <c r="E24" i="43"/>
  <c r="E25" i="43" s="1"/>
  <c r="E29" i="58"/>
  <c r="O67" i="58"/>
  <c r="O43" i="58"/>
  <c r="O42" i="58"/>
  <c r="O41" i="58"/>
  <c r="O115" i="58"/>
  <c r="K93" i="43"/>
  <c r="H106" i="45"/>
  <c r="K101" i="43"/>
  <c r="S51" i="60"/>
  <c r="S50" i="60"/>
  <c r="E50" i="60" s="1"/>
  <c r="S52" i="60"/>
  <c r="N70" i="58"/>
  <c r="O63" i="58" s="1"/>
  <c r="O54" i="43"/>
  <c r="P48" i="43" s="1"/>
  <c r="H105" i="45"/>
  <c r="L103" i="58"/>
  <c r="K102" i="43"/>
  <c r="R31" i="43"/>
  <c r="R36" i="60"/>
  <c r="R35" i="60"/>
  <c r="R34" i="60"/>
  <c r="R40" i="60"/>
  <c r="M76" i="58"/>
  <c r="S31" i="58"/>
  <c r="E27" i="58"/>
  <c r="S25" i="43"/>
  <c r="E37" i="58"/>
  <c r="Q39" i="43"/>
  <c r="R34" i="43" s="1"/>
  <c r="I73" i="45"/>
  <c r="I74" i="45" s="1"/>
  <c r="J67" i="45" s="1"/>
  <c r="S30" i="60"/>
  <c r="E30" i="60" s="1"/>
  <c r="E66" i="58"/>
  <c r="J55" i="45"/>
  <c r="J120" i="45"/>
  <c r="J70" i="45"/>
  <c r="J31" i="45"/>
  <c r="J33" i="45"/>
  <c r="J41" i="45"/>
  <c r="J32" i="45"/>
  <c r="J29" i="45"/>
  <c r="K25" i="45" s="1"/>
  <c r="O39" i="58"/>
  <c r="P34" i="58" s="1"/>
  <c r="J69" i="45" l="1"/>
  <c r="P36" i="58"/>
  <c r="K113" i="45"/>
  <c r="E37" i="43"/>
  <c r="N76" i="58"/>
  <c r="P50" i="43"/>
  <c r="E51" i="43"/>
  <c r="Q45" i="43"/>
  <c r="M73" i="43"/>
  <c r="M74" i="43"/>
  <c r="M72" i="43"/>
  <c r="M117" i="43"/>
  <c r="E29" i="43"/>
  <c r="K27" i="45"/>
  <c r="S31" i="60"/>
  <c r="R38" i="60"/>
  <c r="E66" i="43"/>
  <c r="M70" i="43"/>
  <c r="N63" i="43" s="1"/>
  <c r="J42" i="45"/>
  <c r="J121" i="45" s="1"/>
  <c r="C64" i="60"/>
  <c r="O65" i="58"/>
  <c r="O69" i="58"/>
  <c r="O70" i="58" s="1"/>
  <c r="P63" i="58" s="1"/>
  <c r="O45" i="58"/>
  <c r="S31" i="43"/>
  <c r="E27" i="43"/>
  <c r="H17" i="46" s="1"/>
  <c r="H107" i="45"/>
  <c r="J35" i="45"/>
  <c r="E52" i="60"/>
  <c r="D64" i="60"/>
  <c r="E64" i="60" s="1"/>
  <c r="M81" i="58"/>
  <c r="M102" i="58" s="1"/>
  <c r="M80" i="58"/>
  <c r="M101" i="58" s="1"/>
  <c r="M103" i="58" s="1"/>
  <c r="M79" i="58"/>
  <c r="M93" i="58" s="1"/>
  <c r="S54" i="60"/>
  <c r="S56" i="60"/>
  <c r="E56" i="60" s="1"/>
  <c r="S60" i="60"/>
  <c r="C60" i="60" s="1"/>
  <c r="S55" i="60"/>
  <c r="E55" i="60" s="1"/>
  <c r="D66" i="60" s="1"/>
  <c r="E51" i="60"/>
  <c r="H87" i="45"/>
  <c r="O60" i="43"/>
  <c r="I77" i="45"/>
  <c r="I76" i="45"/>
  <c r="I78" i="45"/>
  <c r="I123" i="45"/>
  <c r="L80" i="43"/>
  <c r="L81" i="43"/>
  <c r="L79" i="43"/>
  <c r="K19" i="45"/>
  <c r="E28" i="43"/>
  <c r="D17" i="46" s="1"/>
  <c r="R36" i="43"/>
  <c r="R38" i="43" s="1"/>
  <c r="E31" i="58"/>
  <c r="K103" i="43"/>
  <c r="K18" i="45"/>
  <c r="H97" i="45"/>
  <c r="P65" i="58" l="1"/>
  <c r="R43" i="43"/>
  <c r="R41" i="43"/>
  <c r="R42" i="43"/>
  <c r="R52" i="43"/>
  <c r="R67" i="43"/>
  <c r="R115" i="43"/>
  <c r="R39" i="43"/>
  <c r="S34" i="43" s="1"/>
  <c r="L101" i="43"/>
  <c r="L17" i="46"/>
  <c r="J17" i="46" s="1"/>
  <c r="P53" i="43"/>
  <c r="P54" i="43" s="1"/>
  <c r="Q48" i="43" s="1"/>
  <c r="J71" i="45"/>
  <c r="J45" i="45"/>
  <c r="J46" i="45"/>
  <c r="J47" i="45"/>
  <c r="J56" i="45"/>
  <c r="I80" i="45"/>
  <c r="E31" i="43"/>
  <c r="N65" i="43"/>
  <c r="N69" i="43" s="1"/>
  <c r="P38" i="58"/>
  <c r="J43" i="45"/>
  <c r="K38" i="45" s="1"/>
  <c r="J49" i="45"/>
  <c r="M76" i="43"/>
  <c r="S58" i="60"/>
  <c r="E58" i="60" s="1"/>
  <c r="D67" i="60" s="1"/>
  <c r="E54" i="60"/>
  <c r="D65" i="60" s="1"/>
  <c r="M83" i="58"/>
  <c r="O74" i="58"/>
  <c r="O73" i="58"/>
  <c r="O72" i="58"/>
  <c r="N81" i="58"/>
  <c r="N102" i="58" s="1"/>
  <c r="N80" i="58"/>
  <c r="N101" i="58" s="1"/>
  <c r="N103" i="58" s="1"/>
  <c r="N79" i="58"/>
  <c r="N93" i="58" s="1"/>
  <c r="L102" i="43"/>
  <c r="F17" i="46"/>
  <c r="L93" i="43"/>
  <c r="O117" i="58"/>
  <c r="K20" i="45"/>
  <c r="K28" i="45"/>
  <c r="L83" i="43"/>
  <c r="S35" i="60"/>
  <c r="E35" i="60" s="1"/>
  <c r="C66" i="60" s="1"/>
  <c r="E66" i="60" s="1"/>
  <c r="S40" i="60"/>
  <c r="C40" i="60" s="1"/>
  <c r="S34" i="60"/>
  <c r="S36" i="60"/>
  <c r="E36" i="60" s="1"/>
  <c r="E31" i="60"/>
  <c r="E32" i="60" s="1"/>
  <c r="S32" i="60"/>
  <c r="Q50" i="43" l="1"/>
  <c r="Q53" i="43" s="1"/>
  <c r="N74" i="43"/>
  <c r="N73" i="43"/>
  <c r="N72" i="43"/>
  <c r="N117" i="43"/>
  <c r="N70" i="43"/>
  <c r="O63" i="43" s="1"/>
  <c r="K41" i="45"/>
  <c r="K33" i="45"/>
  <c r="K31" i="45"/>
  <c r="K32" i="45"/>
  <c r="K120" i="45"/>
  <c r="K55" i="45"/>
  <c r="K70" i="45"/>
  <c r="K29" i="45"/>
  <c r="L25" i="45" s="1"/>
  <c r="I84" i="45"/>
  <c r="I85" i="45"/>
  <c r="I83" i="45"/>
  <c r="I87" i="45" s="1"/>
  <c r="S36" i="43"/>
  <c r="E36" i="43" s="1"/>
  <c r="O76" i="58"/>
  <c r="L19" i="45"/>
  <c r="P68" i="43"/>
  <c r="P58" i="43"/>
  <c r="P56" i="43"/>
  <c r="P57" i="43"/>
  <c r="P116" i="43"/>
  <c r="M80" i="43"/>
  <c r="M101" i="43" s="1"/>
  <c r="M81" i="43"/>
  <c r="M79" i="43"/>
  <c r="M83" i="43" s="1"/>
  <c r="K40" i="45"/>
  <c r="J57" i="45"/>
  <c r="J122" i="45" s="1"/>
  <c r="R45" i="43"/>
  <c r="L113" i="45"/>
  <c r="P41" i="58"/>
  <c r="P42" i="58"/>
  <c r="P67" i="58"/>
  <c r="P69" i="58" s="1"/>
  <c r="P43" i="58"/>
  <c r="P115" i="58"/>
  <c r="L18" i="45"/>
  <c r="L103" i="43"/>
  <c r="N83" i="58"/>
  <c r="S38" i="60"/>
  <c r="E38" i="60" s="1"/>
  <c r="C67" i="60" s="1"/>
  <c r="E67" i="60" s="1"/>
  <c r="E34" i="60"/>
  <c r="C65" i="60" s="1"/>
  <c r="E65" i="60" s="1"/>
  <c r="P39" i="58"/>
  <c r="Q34" i="58" s="1"/>
  <c r="P74" i="58" l="1"/>
  <c r="P72" i="58"/>
  <c r="P76" i="58" s="1"/>
  <c r="P73" i="58"/>
  <c r="P70" i="58"/>
  <c r="Q63" i="58" s="1"/>
  <c r="Q57" i="43"/>
  <c r="Q68" i="43"/>
  <c r="Q58" i="43"/>
  <c r="Q56" i="43"/>
  <c r="Q116" i="43"/>
  <c r="Q54" i="43"/>
  <c r="R48" i="43" s="1"/>
  <c r="I97" i="45"/>
  <c r="M102" i="43"/>
  <c r="I106" i="45"/>
  <c r="M18" i="45"/>
  <c r="M103" i="43"/>
  <c r="I105" i="45"/>
  <c r="O65" i="43"/>
  <c r="O69" i="43"/>
  <c r="O70" i="43"/>
  <c r="P63" i="43" s="1"/>
  <c r="O81" i="58"/>
  <c r="O102" i="58" s="1"/>
  <c r="O80" i="58"/>
  <c r="O101" i="58" s="1"/>
  <c r="O103" i="58" s="1"/>
  <c r="O79" i="58"/>
  <c r="O93" i="58" s="1"/>
  <c r="L27" i="45"/>
  <c r="L28" i="45" s="1"/>
  <c r="J61" i="45"/>
  <c r="J62" i="45"/>
  <c r="J72" i="45"/>
  <c r="J60" i="45"/>
  <c r="N76" i="43"/>
  <c r="P117" i="58"/>
  <c r="J58" i="45"/>
  <c r="K52" i="45" s="1"/>
  <c r="P45" i="58"/>
  <c r="P60" i="43"/>
  <c r="S38" i="43"/>
  <c r="L20" i="45"/>
  <c r="M93" i="43"/>
  <c r="Q36" i="58"/>
  <c r="Q38" i="58" s="1"/>
  <c r="S39" i="43"/>
  <c r="K35" i="45"/>
  <c r="L32" i="45" l="1"/>
  <c r="L33" i="45"/>
  <c r="L70" i="45"/>
  <c r="L120" i="45"/>
  <c r="L31" i="45"/>
  <c r="L41" i="45"/>
  <c r="L55" i="45"/>
  <c r="L29" i="45"/>
  <c r="M25" i="45" s="1"/>
  <c r="Q41" i="58"/>
  <c r="Q42" i="58"/>
  <c r="Q67" i="58"/>
  <c r="Q43" i="58"/>
  <c r="Q115" i="58"/>
  <c r="P102" i="58"/>
  <c r="M113" i="45"/>
  <c r="P65" i="43"/>
  <c r="M20" i="45"/>
  <c r="P81" i="58"/>
  <c r="P80" i="58"/>
  <c r="P101" i="58" s="1"/>
  <c r="P103" i="58" s="1"/>
  <c r="P79" i="58"/>
  <c r="P83" i="58" s="1"/>
  <c r="P93" i="58"/>
  <c r="I107" i="45"/>
  <c r="N81" i="43"/>
  <c r="N102" i="43" s="1"/>
  <c r="N19" i="45" s="1"/>
  <c r="N80" i="43"/>
  <c r="N101" i="43" s="1"/>
  <c r="N79" i="43"/>
  <c r="N93" i="43" s="1"/>
  <c r="N113" i="45" s="1"/>
  <c r="O83" i="58"/>
  <c r="O72" i="43"/>
  <c r="O74" i="43"/>
  <c r="O73" i="43"/>
  <c r="O117" i="43"/>
  <c r="J64" i="45"/>
  <c r="Q60" i="43"/>
  <c r="K42" i="45"/>
  <c r="Q39" i="58"/>
  <c r="R34" i="58" s="1"/>
  <c r="J74" i="45"/>
  <c r="K67" i="45" s="1"/>
  <c r="J123" i="45"/>
  <c r="J73" i="45"/>
  <c r="M19" i="45"/>
  <c r="Q65" i="58"/>
  <c r="Q69" i="58" s="1"/>
  <c r="R50" i="43"/>
  <c r="R54" i="43" s="1"/>
  <c r="S48" i="43" s="1"/>
  <c r="R53" i="43"/>
  <c r="K54" i="45"/>
  <c r="S43" i="43"/>
  <c r="S41" i="43"/>
  <c r="S52" i="43"/>
  <c r="S42" i="43"/>
  <c r="S67" i="43"/>
  <c r="E38" i="43"/>
  <c r="E39" i="43" s="1"/>
  <c r="S115" i="43"/>
  <c r="E115" i="43" s="1"/>
  <c r="S50" i="43" l="1"/>
  <c r="E50" i="43" s="1"/>
  <c r="Q74" i="58"/>
  <c r="Q73" i="58"/>
  <c r="Q72" i="58"/>
  <c r="Q76" i="58" s="1"/>
  <c r="Q70" i="58"/>
  <c r="R63" i="58" s="1"/>
  <c r="E43" i="43"/>
  <c r="J77" i="45"/>
  <c r="J78" i="45"/>
  <c r="J76" i="45"/>
  <c r="J80" i="45" s="1"/>
  <c r="Q117" i="58"/>
  <c r="K69" i="45"/>
  <c r="P69" i="43"/>
  <c r="P70" i="43" s="1"/>
  <c r="Q63" i="43" s="1"/>
  <c r="R58" i="43"/>
  <c r="R57" i="43"/>
  <c r="R68" i="43"/>
  <c r="R56" i="43"/>
  <c r="R116" i="43"/>
  <c r="Q45" i="58"/>
  <c r="K56" i="45"/>
  <c r="K47" i="45"/>
  <c r="K46" i="45"/>
  <c r="K71" i="45"/>
  <c r="K45" i="45"/>
  <c r="K121" i="45"/>
  <c r="K43" i="45"/>
  <c r="L38" i="45" s="1"/>
  <c r="L35" i="45"/>
  <c r="M27" i="45"/>
  <c r="M28" i="45" s="1"/>
  <c r="E67" i="43"/>
  <c r="N103" i="43"/>
  <c r="N18" i="45"/>
  <c r="E42" i="43"/>
  <c r="D18" i="46" s="1"/>
  <c r="O76" i="43"/>
  <c r="E52" i="43"/>
  <c r="N83" i="43"/>
  <c r="R36" i="58"/>
  <c r="E41" i="43"/>
  <c r="H18" i="46" s="1"/>
  <c r="S45" i="43"/>
  <c r="Q65" i="43" l="1"/>
  <c r="J85" i="45"/>
  <c r="J84" i="45"/>
  <c r="J87" i="45"/>
  <c r="J83" i="45"/>
  <c r="R39" i="58"/>
  <c r="S34" i="58" s="1"/>
  <c r="M33" i="45"/>
  <c r="M31" i="45"/>
  <c r="M41" i="45"/>
  <c r="M32" i="45"/>
  <c r="M120" i="45"/>
  <c r="M55" i="45"/>
  <c r="M70" i="45"/>
  <c r="R65" i="58"/>
  <c r="Q81" i="58"/>
  <c r="Q102" i="58" s="1"/>
  <c r="Q80" i="58"/>
  <c r="Q101" i="58" s="1"/>
  <c r="Q103" i="58" s="1"/>
  <c r="Q79" i="58"/>
  <c r="Q93" i="58" s="1"/>
  <c r="R38" i="58"/>
  <c r="R60" i="43"/>
  <c r="F18" i="46"/>
  <c r="O80" i="43"/>
  <c r="O101" i="43" s="1"/>
  <c r="O81" i="43"/>
  <c r="O102" i="43" s="1"/>
  <c r="O19" i="45" s="1"/>
  <c r="O79" i="43"/>
  <c r="O93" i="43" s="1"/>
  <c r="O113" i="45" s="1"/>
  <c r="M29" i="45"/>
  <c r="N25" i="45" s="1"/>
  <c r="E45" i="43"/>
  <c r="N20" i="45"/>
  <c r="J97" i="45"/>
  <c r="L40" i="45"/>
  <c r="L43" i="45" s="1"/>
  <c r="M38" i="45" s="1"/>
  <c r="L42" i="45"/>
  <c r="J18" i="46"/>
  <c r="L18" i="46"/>
  <c r="P72" i="43"/>
  <c r="P74" i="43"/>
  <c r="P73" i="43"/>
  <c r="P117" i="43"/>
  <c r="J106" i="45"/>
  <c r="K49" i="45"/>
  <c r="K57" i="45" s="1"/>
  <c r="J105" i="45"/>
  <c r="S53" i="43"/>
  <c r="K60" i="45" l="1"/>
  <c r="K62" i="45"/>
  <c r="K72" i="45"/>
  <c r="K61" i="45"/>
  <c r="K122" i="45"/>
  <c r="K58" i="45"/>
  <c r="L52" i="45" s="1"/>
  <c r="M40" i="45"/>
  <c r="M42" i="45" s="1"/>
  <c r="S36" i="58"/>
  <c r="E36" i="58" s="1"/>
  <c r="S38" i="58"/>
  <c r="O103" i="43"/>
  <c r="O18" i="45"/>
  <c r="L71" i="45"/>
  <c r="L46" i="45"/>
  <c r="L47" i="45"/>
  <c r="L45" i="45"/>
  <c r="L56" i="45"/>
  <c r="L121" i="45"/>
  <c r="O83" i="43"/>
  <c r="Q83" i="58"/>
  <c r="P76" i="43"/>
  <c r="J107" i="45"/>
  <c r="Q69" i="43"/>
  <c r="S68" i="43"/>
  <c r="S56" i="43"/>
  <c r="S58" i="43"/>
  <c r="S57" i="43"/>
  <c r="E53" i="43"/>
  <c r="E54" i="43" s="1"/>
  <c r="S54" i="43"/>
  <c r="S116" i="43"/>
  <c r="E116" i="43" s="1"/>
  <c r="K64" i="45"/>
  <c r="R43" i="58"/>
  <c r="R42" i="58"/>
  <c r="R41" i="58"/>
  <c r="R67" i="58"/>
  <c r="R69" i="58" s="1"/>
  <c r="R115" i="58"/>
  <c r="M35" i="45"/>
  <c r="N27" i="45"/>
  <c r="N28" i="45" s="1"/>
  <c r="M46" i="45" l="1"/>
  <c r="M56" i="45"/>
  <c r="M47" i="45"/>
  <c r="M71" i="45"/>
  <c r="M45" i="45"/>
  <c r="M121" i="45"/>
  <c r="R73" i="58"/>
  <c r="R72" i="58"/>
  <c r="R74" i="58"/>
  <c r="M43" i="45"/>
  <c r="N38" i="45" s="1"/>
  <c r="L54" i="45"/>
  <c r="L57" i="45" s="1"/>
  <c r="E68" i="43"/>
  <c r="Q74" i="43"/>
  <c r="Q73" i="43"/>
  <c r="Q72" i="43"/>
  <c r="Q117" i="43"/>
  <c r="K73" i="45"/>
  <c r="K123" i="45"/>
  <c r="N120" i="45"/>
  <c r="N41" i="45"/>
  <c r="N70" i="45"/>
  <c r="N55" i="45"/>
  <c r="N33" i="45"/>
  <c r="N31" i="45"/>
  <c r="N32" i="45"/>
  <c r="S67" i="58"/>
  <c r="S43" i="58"/>
  <c r="S41" i="58"/>
  <c r="S42" i="58"/>
  <c r="E38" i="58"/>
  <c r="E39" i="58" s="1"/>
  <c r="S115" i="58"/>
  <c r="E115" i="58" s="1"/>
  <c r="E57" i="43"/>
  <c r="P80" i="43"/>
  <c r="P101" i="43" s="1"/>
  <c r="P83" i="43"/>
  <c r="P81" i="43"/>
  <c r="P102" i="43" s="1"/>
  <c r="P19" i="45" s="1"/>
  <c r="P79" i="43"/>
  <c r="P93" i="43" s="1"/>
  <c r="P113" i="45" s="1"/>
  <c r="S39" i="58"/>
  <c r="R117" i="58"/>
  <c r="O20" i="45"/>
  <c r="Q70" i="43"/>
  <c r="R63" i="43" s="1"/>
  <c r="R45" i="58"/>
  <c r="L49" i="45"/>
  <c r="N29" i="45"/>
  <c r="O25" i="45" s="1"/>
  <c r="M49" i="45"/>
  <c r="E58" i="43"/>
  <c r="E56" i="43"/>
  <c r="H19" i="46" s="1"/>
  <c r="S60" i="43"/>
  <c r="R70" i="58"/>
  <c r="S63" i="58" s="1"/>
  <c r="L62" i="45" l="1"/>
  <c r="L72" i="45"/>
  <c r="L61" i="45"/>
  <c r="L60" i="45"/>
  <c r="L122" i="45"/>
  <c r="O27" i="45"/>
  <c r="O29" i="45" s="1"/>
  <c r="P25" i="45" s="1"/>
  <c r="L64" i="45"/>
  <c r="E60" i="43"/>
  <c r="K78" i="45"/>
  <c r="K76" i="45"/>
  <c r="K77" i="45"/>
  <c r="E67" i="58"/>
  <c r="K74" i="45"/>
  <c r="L67" i="45" s="1"/>
  <c r="R76" i="58"/>
  <c r="E42" i="58"/>
  <c r="N42" i="45"/>
  <c r="N40" i="45"/>
  <c r="N43" i="45" s="1"/>
  <c r="O38" i="45" s="1"/>
  <c r="E43" i="58"/>
  <c r="R65" i="43"/>
  <c r="R69" i="43" s="1"/>
  <c r="E41" i="58"/>
  <c r="S45" i="58"/>
  <c r="E45" i="58" s="1"/>
  <c r="P103" i="43"/>
  <c r="P18" i="45"/>
  <c r="N35" i="45"/>
  <c r="Q76" i="43"/>
  <c r="S65" i="58"/>
  <c r="E65" i="58" s="1"/>
  <c r="O28" i="45"/>
  <c r="D19" i="46"/>
  <c r="L58" i="45"/>
  <c r="M52" i="45" s="1"/>
  <c r="P27" i="45" l="1"/>
  <c r="P29" i="45" s="1"/>
  <c r="Q25" i="45" s="1"/>
  <c r="O40" i="45"/>
  <c r="R73" i="43"/>
  <c r="R72" i="43"/>
  <c r="R74" i="43"/>
  <c r="R117" i="43"/>
  <c r="N56" i="45"/>
  <c r="N47" i="45"/>
  <c r="N49" i="45" s="1"/>
  <c r="N71" i="45"/>
  <c r="N46" i="45"/>
  <c r="N45" i="45"/>
  <c r="N121" i="45"/>
  <c r="R70" i="43"/>
  <c r="S63" i="43" s="1"/>
  <c r="L69" i="45"/>
  <c r="L73" i="45" s="1"/>
  <c r="M54" i="45"/>
  <c r="M58" i="45" s="1"/>
  <c r="N52" i="45" s="1"/>
  <c r="M57" i="45"/>
  <c r="R83" i="58"/>
  <c r="R81" i="58"/>
  <c r="R102" i="58" s="1"/>
  <c r="R80" i="58"/>
  <c r="R101" i="58" s="1"/>
  <c r="R79" i="58"/>
  <c r="R93" i="58" s="1"/>
  <c r="P20" i="45"/>
  <c r="P28" i="45"/>
  <c r="Q81" i="43"/>
  <c r="Q102" i="43" s="1"/>
  <c r="Q19" i="45" s="1"/>
  <c r="Q80" i="43"/>
  <c r="Q101" i="43" s="1"/>
  <c r="Q79" i="43"/>
  <c r="Q93" i="43" s="1"/>
  <c r="Q113" i="45" s="1"/>
  <c r="O70" i="45"/>
  <c r="O33" i="45"/>
  <c r="O55" i="45"/>
  <c r="O32" i="45"/>
  <c r="O120" i="45"/>
  <c r="O41" i="45"/>
  <c r="O31" i="45"/>
  <c r="K80" i="45"/>
  <c r="L19" i="46"/>
  <c r="J19" i="46" s="1"/>
  <c r="S69" i="58"/>
  <c r="S70" i="58" s="1"/>
  <c r="L77" i="45" l="1"/>
  <c r="L78" i="45"/>
  <c r="L76" i="45"/>
  <c r="L123" i="45"/>
  <c r="N54" i="45"/>
  <c r="N57" i="45" s="1"/>
  <c r="Q27" i="45"/>
  <c r="O35" i="45"/>
  <c r="R76" i="43"/>
  <c r="K84" i="45"/>
  <c r="K105" i="45" s="1"/>
  <c r="K85" i="45"/>
  <c r="K106" i="45" s="1"/>
  <c r="K83" i="45"/>
  <c r="K97" i="45" s="1"/>
  <c r="L74" i="45"/>
  <c r="M67" i="45" s="1"/>
  <c r="P33" i="45"/>
  <c r="P55" i="45"/>
  <c r="P31" i="45"/>
  <c r="P41" i="45"/>
  <c r="P32" i="45"/>
  <c r="P120" i="45"/>
  <c r="P70" i="45"/>
  <c r="S65" i="43"/>
  <c r="E65" i="43" s="1"/>
  <c r="S73" i="58"/>
  <c r="S72" i="58"/>
  <c r="S74" i="58"/>
  <c r="E69" i="58"/>
  <c r="E70" i="58" s="1"/>
  <c r="S117" i="58"/>
  <c r="E117" i="58" s="1"/>
  <c r="M62" i="45"/>
  <c r="M61" i="45"/>
  <c r="M72" i="45"/>
  <c r="M60" i="45"/>
  <c r="M122" i="45"/>
  <c r="Q83" i="43"/>
  <c r="Q18" i="45"/>
  <c r="Q103" i="43"/>
  <c r="F19" i="46"/>
  <c r="R103" i="58"/>
  <c r="N62" i="45" l="1"/>
  <c r="N61" i="45"/>
  <c r="N72" i="45"/>
  <c r="N60" i="45"/>
  <c r="N122" i="45"/>
  <c r="N58" i="45"/>
  <c r="O52" i="45" s="1"/>
  <c r="P35" i="45"/>
  <c r="R80" i="43"/>
  <c r="R101" i="43" s="1"/>
  <c r="R81" i="43"/>
  <c r="R102" i="43" s="1"/>
  <c r="R19" i="45" s="1"/>
  <c r="R79" i="43"/>
  <c r="R93" i="43" s="1"/>
  <c r="R113" i="45" s="1"/>
  <c r="K107" i="45"/>
  <c r="E74" i="58"/>
  <c r="L80" i="45"/>
  <c r="K87" i="45"/>
  <c r="Q20" i="45"/>
  <c r="Q28" i="45"/>
  <c r="E73" i="58"/>
  <c r="M69" i="45"/>
  <c r="M64" i="45"/>
  <c r="S69" i="43"/>
  <c r="S76" i="58"/>
  <c r="E72" i="58"/>
  <c r="O42" i="45"/>
  <c r="R18" i="45" l="1"/>
  <c r="R103" i="43"/>
  <c r="O54" i="45"/>
  <c r="Q70" i="45"/>
  <c r="Q33" i="45"/>
  <c r="Q41" i="45"/>
  <c r="Q120" i="45"/>
  <c r="Q31" i="45"/>
  <c r="Q32" i="45"/>
  <c r="Q55" i="45"/>
  <c r="Q29" i="45"/>
  <c r="R25" i="45" s="1"/>
  <c r="O56" i="45"/>
  <c r="O46" i="45"/>
  <c r="O71" i="45"/>
  <c r="O45" i="45"/>
  <c r="O47" i="45"/>
  <c r="O121" i="45"/>
  <c r="O43" i="45"/>
  <c r="P38" i="45" s="1"/>
  <c r="S81" i="58"/>
  <c r="S80" i="58"/>
  <c r="S79" i="58"/>
  <c r="E76" i="58"/>
  <c r="M73" i="45"/>
  <c r="N64" i="45"/>
  <c r="L85" i="45"/>
  <c r="L106" i="45" s="1"/>
  <c r="L87" i="45"/>
  <c r="L84" i="45"/>
  <c r="L105" i="45" s="1"/>
  <c r="L83" i="45"/>
  <c r="L97" i="45" s="1"/>
  <c r="S74" i="43"/>
  <c r="S72" i="43"/>
  <c r="S73" i="43"/>
  <c r="E69" i="43"/>
  <c r="E70" i="43" s="1"/>
  <c r="S117" i="43"/>
  <c r="E117" i="43" s="1"/>
  <c r="S70" i="43"/>
  <c r="R83" i="43"/>
  <c r="E81" i="58" l="1"/>
  <c r="S102" i="58"/>
  <c r="C102" i="58" s="1"/>
  <c r="O49" i="45"/>
  <c r="E72" i="43"/>
  <c r="H20" i="46" s="1"/>
  <c r="S76" i="43"/>
  <c r="E74" i="43"/>
  <c r="M77" i="45"/>
  <c r="M78" i="45"/>
  <c r="M76" i="45"/>
  <c r="M123" i="45"/>
  <c r="Q35" i="45"/>
  <c r="P40" i="45"/>
  <c r="P42" i="45" s="1"/>
  <c r="E73" i="43"/>
  <c r="D20" i="46" s="1"/>
  <c r="E79" i="58"/>
  <c r="S93" i="58"/>
  <c r="R27" i="45"/>
  <c r="R28" i="45" s="1"/>
  <c r="E80" i="58"/>
  <c r="S101" i="58"/>
  <c r="R20" i="45"/>
  <c r="L107" i="45"/>
  <c r="S83" i="58"/>
  <c r="E83" i="58" s="1"/>
  <c r="M74" i="45"/>
  <c r="N67" i="45" s="1"/>
  <c r="P47" i="45" l="1"/>
  <c r="P46" i="45"/>
  <c r="P71" i="45"/>
  <c r="P45" i="45"/>
  <c r="P56" i="45"/>
  <c r="P121" i="45"/>
  <c r="P43" i="45"/>
  <c r="Q38" i="45" s="1"/>
  <c r="R33" i="45"/>
  <c r="R120" i="45"/>
  <c r="R32" i="45"/>
  <c r="R31" i="45"/>
  <c r="R70" i="45"/>
  <c r="R55" i="45"/>
  <c r="R41" i="45"/>
  <c r="N69" i="45"/>
  <c r="N73" i="45" s="1"/>
  <c r="R29" i="45"/>
  <c r="S25" i="45" s="1"/>
  <c r="M80" i="45"/>
  <c r="L20" i="46"/>
  <c r="F20" i="46" s="1"/>
  <c r="J20" i="46"/>
  <c r="S83" i="43"/>
  <c r="E83" i="43" s="1"/>
  <c r="S80" i="43"/>
  <c r="S81" i="43"/>
  <c r="S79" i="43"/>
  <c r="E76" i="43"/>
  <c r="C96" i="58"/>
  <c r="C94" i="58"/>
  <c r="C95" i="58"/>
  <c r="S103" i="58"/>
  <c r="C101" i="58"/>
  <c r="O57" i="45"/>
  <c r="N78" i="45" l="1"/>
  <c r="N77" i="45"/>
  <c r="N76" i="45"/>
  <c r="N123" i="45"/>
  <c r="N74" i="45"/>
  <c r="O67" i="45" s="1"/>
  <c r="O61" i="45"/>
  <c r="O62" i="45"/>
  <c r="O72" i="45"/>
  <c r="O60" i="45"/>
  <c r="O58" i="45"/>
  <c r="P52" i="45" s="1"/>
  <c r="O122" i="45"/>
  <c r="C97" i="58"/>
  <c r="Q40" i="45"/>
  <c r="Q42" i="45" s="1"/>
  <c r="S27" i="45"/>
  <c r="E27" i="45" s="1"/>
  <c r="R35" i="45"/>
  <c r="M87" i="45"/>
  <c r="M85" i="45"/>
  <c r="M106" i="45" s="1"/>
  <c r="M84" i="45"/>
  <c r="M105" i="45" s="1"/>
  <c r="M83" i="45"/>
  <c r="M97" i="45" s="1"/>
  <c r="P49" i="45"/>
  <c r="C105" i="58"/>
  <c r="C103" i="58"/>
  <c r="C106" i="58"/>
  <c r="E79" i="43"/>
  <c r="H21" i="46" s="1"/>
  <c r="S93" i="43"/>
  <c r="E81" i="43"/>
  <c r="S102" i="43"/>
  <c r="E80" i="43"/>
  <c r="S101" i="43"/>
  <c r="Q71" i="45" l="1"/>
  <c r="Q47" i="45"/>
  <c r="Q46" i="45"/>
  <c r="Q56" i="45"/>
  <c r="Q45" i="45"/>
  <c r="Q121" i="45"/>
  <c r="P54" i="45"/>
  <c r="P57" i="45" s="1"/>
  <c r="C107" i="58"/>
  <c r="S113" i="45"/>
  <c r="E113" i="45" s="1"/>
  <c r="C95" i="43"/>
  <c r="C96" i="43"/>
  <c r="C94" i="43"/>
  <c r="H11" i="46" s="1"/>
  <c r="O64" i="45"/>
  <c r="D21" i="46"/>
  <c r="Q43" i="45"/>
  <c r="R38" i="45" s="1"/>
  <c r="O69" i="45"/>
  <c r="S18" i="45"/>
  <c r="S103" i="43"/>
  <c r="C101" i="43"/>
  <c r="H22" i="46"/>
  <c r="N80" i="45"/>
  <c r="S19" i="45"/>
  <c r="E19" i="45" s="1"/>
  <c r="C102" i="43"/>
  <c r="M107" i="45"/>
  <c r="C109" i="58"/>
  <c r="P72" i="45" l="1"/>
  <c r="P61" i="45"/>
  <c r="P62" i="45"/>
  <c r="P60" i="45"/>
  <c r="P122" i="45"/>
  <c r="N85" i="45"/>
  <c r="N106" i="45" s="1"/>
  <c r="N84" i="45"/>
  <c r="N105" i="45" s="1"/>
  <c r="N107" i="45" s="1"/>
  <c r="N83" i="45"/>
  <c r="N97" i="45" s="1"/>
  <c r="P58" i="45"/>
  <c r="Q52" i="45" s="1"/>
  <c r="O73" i="45"/>
  <c r="D22" i="46"/>
  <c r="R40" i="45"/>
  <c r="R43" i="45" s="1"/>
  <c r="S38" i="45" s="1"/>
  <c r="R42" i="45"/>
  <c r="H25" i="46"/>
  <c r="L22" i="46"/>
  <c r="L25" i="46" s="1"/>
  <c r="L21" i="46"/>
  <c r="J21" i="46" s="1"/>
  <c r="Q49" i="45"/>
  <c r="C106" i="43"/>
  <c r="C105" i="43"/>
  <c r="L11" i="46" s="1"/>
  <c r="C103" i="43"/>
  <c r="S20" i="45"/>
  <c r="E20" i="45" s="1"/>
  <c r="S28" i="45"/>
  <c r="E18" i="45"/>
  <c r="C97" i="43"/>
  <c r="C109" i="43"/>
  <c r="L39" i="46" s="1"/>
  <c r="H9" i="46"/>
  <c r="S40" i="45" l="1"/>
  <c r="E40" i="45" s="1"/>
  <c r="H8" i="46"/>
  <c r="H10" i="46"/>
  <c r="Q54" i="45"/>
  <c r="Q57" i="45" s="1"/>
  <c r="N87" i="45"/>
  <c r="S55" i="45"/>
  <c r="S33" i="45"/>
  <c r="S32" i="45"/>
  <c r="S41" i="45"/>
  <c r="S70" i="45"/>
  <c r="S120" i="45"/>
  <c r="E120" i="45" s="1"/>
  <c r="S31" i="45"/>
  <c r="E28" i="45"/>
  <c r="E29" i="45" s="1"/>
  <c r="S29" i="45"/>
  <c r="J22" i="46"/>
  <c r="O78" i="45"/>
  <c r="O77" i="45"/>
  <c r="O76" i="45"/>
  <c r="O123" i="45"/>
  <c r="J25" i="46"/>
  <c r="O74" i="45"/>
  <c r="P67" i="45" s="1"/>
  <c r="R56" i="45"/>
  <c r="R46" i="45"/>
  <c r="R71" i="45"/>
  <c r="R47" i="45"/>
  <c r="R45" i="45"/>
  <c r="R121" i="45"/>
  <c r="P64" i="45"/>
  <c r="C107" i="43"/>
  <c r="D25" i="46"/>
  <c r="F25" i="46" s="1"/>
  <c r="F22" i="46"/>
  <c r="F21" i="46"/>
  <c r="Q72" i="45" l="1"/>
  <c r="Q61" i="45"/>
  <c r="Q62" i="45"/>
  <c r="Q60" i="45"/>
  <c r="Q122" i="45"/>
  <c r="Q58" i="45"/>
  <c r="R52" i="45" s="1"/>
  <c r="E55" i="45"/>
  <c r="E32" i="45"/>
  <c r="D29" i="46" s="1"/>
  <c r="S35" i="45"/>
  <c r="E31" i="45"/>
  <c r="H29" i="46" s="1"/>
  <c r="E33" i="45"/>
  <c r="S42" i="45"/>
  <c r="S121" i="45" s="1"/>
  <c r="E121" i="45" s="1"/>
  <c r="E70" i="45"/>
  <c r="O80" i="45"/>
  <c r="R49" i="45"/>
  <c r="P69" i="45"/>
  <c r="E41" i="45"/>
  <c r="Q64" i="45" l="1"/>
  <c r="P73" i="45"/>
  <c r="L29" i="46"/>
  <c r="F29" i="46" s="1"/>
  <c r="J29" i="46"/>
  <c r="S47" i="45"/>
  <c r="S49" i="45" s="1"/>
  <c r="S46" i="45"/>
  <c r="S71" i="45"/>
  <c r="S56" i="45"/>
  <c r="S45" i="45"/>
  <c r="E42" i="45"/>
  <c r="E43" i="45" s="1"/>
  <c r="R54" i="45"/>
  <c r="R58" i="45" s="1"/>
  <c r="S52" i="45" s="1"/>
  <c r="R57" i="45"/>
  <c r="E35" i="45"/>
  <c r="O85" i="45"/>
  <c r="O106" i="45" s="1"/>
  <c r="O84" i="45"/>
  <c r="O105" i="45" s="1"/>
  <c r="O83" i="45"/>
  <c r="O97" i="45" s="1"/>
  <c r="S43" i="45"/>
  <c r="E49" i="45" l="1"/>
  <c r="S54" i="45"/>
  <c r="E54" i="45" s="1"/>
  <c r="R60" i="45"/>
  <c r="R62" i="45"/>
  <c r="R72" i="45"/>
  <c r="R61" i="45"/>
  <c r="R122" i="45"/>
  <c r="E45" i="45"/>
  <c r="H30" i="46" s="1"/>
  <c r="P76" i="45"/>
  <c r="P77" i="45"/>
  <c r="P78" i="45"/>
  <c r="P123" i="45"/>
  <c r="O107" i="45"/>
  <c r="E71" i="45"/>
  <c r="E47" i="45"/>
  <c r="E56" i="45"/>
  <c r="O87" i="45"/>
  <c r="E46" i="45"/>
  <c r="P74" i="45"/>
  <c r="Q67" i="45" s="1"/>
  <c r="R64" i="45" l="1"/>
  <c r="S57" i="45"/>
  <c r="S58" i="45" s="1"/>
  <c r="Q69" i="45"/>
  <c r="Q73" i="45" s="1"/>
  <c r="P80" i="45"/>
  <c r="D30" i="46"/>
  <c r="Q76" i="45" l="1"/>
  <c r="Q77" i="45"/>
  <c r="Q78" i="45"/>
  <c r="Q123" i="45"/>
  <c r="F30" i="46"/>
  <c r="Q74" i="45"/>
  <c r="R67" i="45" s="1"/>
  <c r="S60" i="45"/>
  <c r="S62" i="45"/>
  <c r="S72" i="45"/>
  <c r="S61" i="45"/>
  <c r="E57" i="45"/>
  <c r="E58" i="45" s="1"/>
  <c r="S122" i="45"/>
  <c r="E122" i="45" s="1"/>
  <c r="L30" i="46"/>
  <c r="J30" i="46" s="1"/>
  <c r="P85" i="45"/>
  <c r="P106" i="45" s="1"/>
  <c r="P84" i="45"/>
  <c r="P105" i="45" s="1"/>
  <c r="P107" i="45" s="1"/>
  <c r="P83" i="45"/>
  <c r="P97" i="45" s="1"/>
  <c r="E60" i="45" l="1"/>
  <c r="H31" i="46" s="1"/>
  <c r="S64" i="45"/>
  <c r="R69" i="45"/>
  <c r="R73" i="45" s="1"/>
  <c r="E72" i="45"/>
  <c r="E62" i="45"/>
  <c r="P87" i="45"/>
  <c r="E61" i="45"/>
  <c r="D31" i="46" s="1"/>
  <c r="Q80" i="45"/>
  <c r="R76" i="45" l="1"/>
  <c r="R77" i="45"/>
  <c r="R78" i="45"/>
  <c r="R123" i="45"/>
  <c r="R74" i="45"/>
  <c r="S67" i="45" s="1"/>
  <c r="F31" i="46"/>
  <c r="Q85" i="45"/>
  <c r="Q106" i="45" s="1"/>
  <c r="Q84" i="45"/>
  <c r="Q105" i="45" s="1"/>
  <c r="Q107" i="45" s="1"/>
  <c r="Q83" i="45"/>
  <c r="Q97" i="45" s="1"/>
  <c r="E64" i="45"/>
  <c r="L31" i="46"/>
  <c r="J31" i="46"/>
  <c r="R80" i="45" l="1"/>
  <c r="S69" i="45"/>
  <c r="E69" i="45" s="1"/>
  <c r="Q87" i="45"/>
  <c r="S73" i="45" l="1"/>
  <c r="S74" i="45"/>
  <c r="R84" i="45"/>
  <c r="R105" i="45" s="1"/>
  <c r="R107" i="45" s="1"/>
  <c r="R85" i="45"/>
  <c r="R106" i="45" s="1"/>
  <c r="R83" i="45"/>
  <c r="R97" i="45" s="1"/>
  <c r="R87" i="45" l="1"/>
  <c r="S77" i="45"/>
  <c r="S78" i="45"/>
  <c r="S76" i="45"/>
  <c r="E73" i="45"/>
  <c r="E74" i="45" s="1"/>
  <c r="S123" i="45"/>
  <c r="E123" i="45" s="1"/>
  <c r="E76" i="45" l="1"/>
  <c r="H32" i="46" s="1"/>
  <c r="S80" i="45"/>
  <c r="E78" i="45"/>
  <c r="E77" i="45"/>
  <c r="D32" i="46" s="1"/>
  <c r="S85" i="45" l="1"/>
  <c r="S84" i="45"/>
  <c r="S83" i="45"/>
  <c r="E80" i="45"/>
  <c r="L32" i="46"/>
  <c r="F32" i="46" s="1"/>
  <c r="J32" i="46" l="1"/>
  <c r="E85" i="45"/>
  <c r="S106" i="45"/>
  <c r="C106" i="45" s="1"/>
  <c r="E83" i="45"/>
  <c r="H33" i="46" s="1"/>
  <c r="S97" i="45"/>
  <c r="E84" i="45"/>
  <c r="D33" i="46" s="1"/>
  <c r="S105" i="45"/>
  <c r="S87" i="45"/>
  <c r="E87" i="45" s="1"/>
  <c r="F33" i="46" l="1"/>
  <c r="D34" i="46"/>
  <c r="L33" i="46"/>
  <c r="J33" i="46" s="1"/>
  <c r="H34" i="46"/>
  <c r="S107" i="45"/>
  <c r="C105" i="45"/>
  <c r="C98" i="45"/>
  <c r="F11" i="46" s="1"/>
  <c r="C100" i="45"/>
  <c r="C99" i="45"/>
  <c r="F34" i="46" l="1"/>
  <c r="D37" i="46"/>
  <c r="C101" i="45"/>
  <c r="F9" i="46"/>
  <c r="C109" i="45"/>
  <c r="D11" i="46" s="1"/>
  <c r="C107" i="45"/>
  <c r="D9" i="46" s="1"/>
  <c r="C110" i="45"/>
  <c r="C111" i="45" s="1"/>
  <c r="H37" i="46"/>
  <c r="L34" i="46"/>
  <c r="L37" i="46" s="1"/>
  <c r="J34" i="46"/>
  <c r="J37" i="46" l="1"/>
  <c r="D10" i="46"/>
  <c r="J9" i="46"/>
  <c r="J10" i="46" s="1"/>
  <c r="L9" i="46"/>
  <c r="L10" i="46" s="1"/>
  <c r="D8" i="46"/>
  <c r="F10" i="46"/>
  <c r="F8" i="46"/>
  <c r="C115" i="45"/>
  <c r="L40" i="46" s="1"/>
  <c r="F37" i="46"/>
  <c r="L8" i="46" l="1"/>
  <c r="J8" i="46"/>
</calcChain>
</file>

<file path=xl/comments1.xml><?xml version="1.0" encoding="utf-8"?>
<comments xmlns="http://schemas.openxmlformats.org/spreadsheetml/2006/main">
  <authors>
    <author>Bruce Kirsch</author>
  </authors>
  <commentList>
    <comment ref="G24" authorId="0" shapeId="0">
      <text>
        <r>
          <rPr>
            <b/>
            <sz val="9"/>
            <color indexed="81"/>
            <rFont val="Tahoma"/>
            <family val="2"/>
          </rPr>
          <t xml:space="preserve">Exercise:
</t>
        </r>
        <r>
          <rPr>
            <sz val="9"/>
            <color indexed="81"/>
            <rFont val="Tahoma"/>
            <family val="2"/>
          </rPr>
          <t>Fill in the blue area. The solution is on the next tab.</t>
        </r>
      </text>
    </comment>
  </commentList>
</comments>
</file>

<file path=xl/comments2.xml><?xml version="1.0" encoding="utf-8"?>
<comments xmlns="http://schemas.openxmlformats.org/spreadsheetml/2006/main">
  <authors>
    <author>Bruce Kirsch</author>
  </authors>
  <commentList>
    <comment ref="H12" authorId="0" shapeId="0">
      <text>
        <r>
          <rPr>
            <b/>
            <sz val="9"/>
            <color indexed="81"/>
            <rFont val="Tahoma"/>
            <charset val="1"/>
          </rPr>
          <t xml:space="preserve">Note: </t>
        </r>
        <r>
          <rPr>
            <sz val="9"/>
            <color indexed="81"/>
            <rFont val="Tahoma"/>
            <charset val="1"/>
          </rPr>
          <t xml:space="preserve">
This line will flow from your Cash Flow tab in your model.</t>
        </r>
      </text>
    </comment>
    <comment ref="M14" authorId="0" shapeId="0">
      <text>
        <r>
          <rPr>
            <b/>
            <sz val="9"/>
            <color indexed="81"/>
            <rFont val="Tahoma"/>
            <family val="2"/>
          </rPr>
          <t xml:space="preserve">Exercise:
</t>
        </r>
        <r>
          <rPr>
            <sz val="9"/>
            <color indexed="81"/>
            <rFont val="Tahoma"/>
            <family val="2"/>
          </rPr>
          <t>Write out the formulas in words for Rows 16, 17 and 18.</t>
        </r>
      </text>
    </comment>
    <comment ref="H26" authorId="0" shapeId="0">
      <text>
        <r>
          <rPr>
            <b/>
            <sz val="9"/>
            <color indexed="81"/>
            <rFont val="Tahoma"/>
            <family val="2"/>
          </rPr>
          <t xml:space="preserve">Exercise:
</t>
        </r>
        <r>
          <rPr>
            <sz val="9"/>
            <color indexed="81"/>
            <rFont val="Tahoma"/>
            <family val="2"/>
          </rPr>
          <t>Fill in the blue area. The solution is on the next tab.</t>
        </r>
      </text>
    </comment>
  </commentList>
</comments>
</file>

<file path=xl/comments3.xml><?xml version="1.0" encoding="utf-8"?>
<comments xmlns="http://schemas.openxmlformats.org/spreadsheetml/2006/main">
  <authors>
    <author>Bruce Kirsch</author>
    <author xml:space="preserve"> </author>
  </authors>
  <commentList>
    <comment ref="H16" authorId="0" shapeId="0">
      <text>
        <r>
          <rPr>
            <b/>
            <sz val="9"/>
            <color indexed="81"/>
            <rFont val="Tahoma"/>
            <family val="2"/>
          </rPr>
          <t>Note:</t>
        </r>
        <r>
          <rPr>
            <sz val="9"/>
            <color indexed="81"/>
            <rFont val="Tahoma"/>
            <family val="2"/>
          </rPr>
          <t xml:space="preserve">
This line will come from our cash flow tab.</t>
        </r>
      </text>
    </comment>
    <comment ref="B19" authorId="1" shapeId="0">
      <text>
        <r>
          <rPr>
            <sz val="11"/>
            <color indexed="81"/>
            <rFont val="Tahoma"/>
            <family val="2"/>
          </rPr>
          <t>Values are negative when there is an equity investment being made, and they are positive when there is a distribution being made.  Otherwise, they are 0.</t>
        </r>
      </text>
    </comment>
    <comment ref="B20" authorId="1" shapeId="0">
      <text>
        <r>
          <rPr>
            <sz val="11"/>
            <color indexed="81"/>
            <rFont val="Tahoma"/>
            <family val="2"/>
          </rPr>
          <t xml:space="preserve">If there is a distribution being made in this month, then return that value; otherwise, return 0.
</t>
        </r>
      </text>
    </comment>
    <comment ref="H26" authorId="0" shapeId="0">
      <text>
        <r>
          <rPr>
            <b/>
            <sz val="9"/>
            <color indexed="81"/>
            <rFont val="Tahoma"/>
            <family val="2"/>
          </rPr>
          <t xml:space="preserve">Note:
</t>
        </r>
        <r>
          <rPr>
            <sz val="9"/>
            <color indexed="81"/>
            <rFont val="Tahoma"/>
            <family val="2"/>
          </rPr>
          <t xml:space="preserve">This line will come from our Sources and Uses of funds tab, or our Cash Flow tab.
</t>
        </r>
      </text>
    </comment>
    <comment ref="B29" authorId="1" shapeId="0">
      <text>
        <r>
          <rPr>
            <sz val="11"/>
            <color indexed="81"/>
            <rFont val="Tahoma"/>
            <family val="2"/>
          </rPr>
          <t>EOP Balance from previous period.</t>
        </r>
        <r>
          <rPr>
            <sz val="8"/>
            <color indexed="81"/>
            <rFont val="Tahoma"/>
            <family val="2"/>
          </rPr>
          <t xml:space="preserve">
</t>
        </r>
      </text>
    </comment>
    <comment ref="B30" authorId="1" shapeId="0">
      <text>
        <r>
          <rPr>
            <sz val="11"/>
            <color indexed="81"/>
            <rFont val="Tahoma"/>
            <family val="2"/>
          </rPr>
          <t>The negative of the values from Row 26.</t>
        </r>
      </text>
    </comment>
    <comment ref="B31" authorId="1" shapeId="0">
      <text>
        <r>
          <rPr>
            <sz val="11"/>
            <color indexed="81"/>
            <rFont val="Tahoma"/>
            <family val="2"/>
          </rPr>
          <t>This formula is simply the Beginning of Period Balance compounded by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32" authorId="1" shapeId="0">
      <text>
        <r>
          <rPr>
            <sz val="11"/>
            <color indexed="81"/>
            <rFont val="Tahoma"/>
            <family val="2"/>
          </rPr>
          <t xml:space="preserve">Calculates what total amount, if any, should be distributed, or paid out, to the Investor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21.
</t>
        </r>
      </text>
    </comment>
    <comment ref="B34" authorId="1" shapeId="0">
      <text>
        <r>
          <rPr>
            <sz val="11"/>
            <color indexed="81"/>
            <rFont val="Tahoma"/>
            <family val="2"/>
          </rPr>
          <t>In this next section, we now partition, or break out, the amounts of cash flow allocated to the IRR performance range unique to this Tier that is to go to the Investor vs. to the Sponsor.</t>
        </r>
      </text>
    </comment>
    <comment ref="B35" authorId="1" shapeId="0">
      <text>
        <r>
          <rPr>
            <sz val="11"/>
            <color indexed="81"/>
            <rFont val="Tahoma"/>
            <family val="2"/>
          </rPr>
          <t xml:space="preserve">Return to this cell the lesser of:
• The negative of the sum of Investor Injections + Accrual Distributions, and
• The BOP Balance + Investor Accruals.
</t>
        </r>
      </text>
    </comment>
    <comment ref="H35" authorId="1" shapeId="0">
      <text>
        <r>
          <rPr>
            <sz val="11"/>
            <color indexed="81"/>
            <rFont val="Tahoma"/>
            <family val="2"/>
          </rPr>
          <t>The values in this row will be the negative Investor Injection amounts, except in periods of Distribution, where the Cash Flow becomes positive.</t>
        </r>
      </text>
    </comment>
    <comment ref="B36" authorId="1" shapeId="0">
      <text>
        <r>
          <rPr>
            <sz val="11"/>
            <color indexed="81"/>
            <rFont val="Tahoma"/>
            <family val="2"/>
          </rPr>
          <t>The calculation of the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37" authorId="1" shapeId="0">
      <text>
        <r>
          <rPr>
            <sz val="11"/>
            <color indexed="81"/>
            <rFont val="Tahoma"/>
            <family val="2"/>
          </rPr>
          <t>The same calculation, but for the Sponsor Promote, which in this case is 0%, but will be a positive percentage in the subsequent Tiers.</t>
        </r>
      </text>
    </comment>
    <comment ref="B39" authorId="1" shapeId="0">
      <text>
        <r>
          <rPr>
            <sz val="11"/>
            <color indexed="81"/>
            <rFont val="Tahoma"/>
            <family val="2"/>
          </rPr>
          <t>Calculates what residual cash flow exists after the distributions allocated to Tier 1 are made.
• The formula here says the following:
  o If the Investor cash flow is negative, then return the value 0, otherwise, return the difference between Total Project Distributions and the sum of all of the Cash Flow calculated.
Once again, we notice that this line is not populated with a value other than 0 until the last period, where we can see that the Remaining Cash to Distribute is the difference between the Total Project Distributions and the distributions in Rows 31-33.
• We should also take note that in the final period the End of Period balance is 0, and that this will be the case in all of the Tiers.</t>
        </r>
        <r>
          <rPr>
            <b/>
            <sz val="8"/>
            <color indexed="81"/>
            <rFont val="Tahoma"/>
            <family val="2"/>
          </rPr>
          <t xml:space="preserve">
</t>
        </r>
      </text>
    </comment>
    <comment ref="B41" authorId="1" shapeId="0">
      <text>
        <r>
          <rPr>
            <sz val="11"/>
            <color indexed="81"/>
            <rFont val="Tahoma"/>
            <family val="2"/>
          </rPr>
          <t>The line items in Tier 2 are identical to those of Tier 1 except for the addition in Row 46 of the Tier 2 Accrual Distribution line.</t>
        </r>
      </text>
    </comment>
    <comment ref="B44" authorId="1" shapeId="0">
      <text>
        <r>
          <rPr>
            <sz val="11"/>
            <color indexed="81"/>
            <rFont val="Tahoma"/>
            <family val="2"/>
          </rPr>
          <t>Drives off of the Tier 2 hurdle rate of 15%, and we see as we follow this across that the values in the line are larger than those in the Tier 1 Investor Accruals line due to this higher hurdle rate of 15% vs. 10%.</t>
        </r>
      </text>
    </comment>
    <comment ref="B46" authorId="1" shapeId="0">
      <text>
        <r>
          <rPr>
            <sz val="11"/>
            <color indexed="81"/>
            <rFont val="Tahoma"/>
            <family val="2"/>
          </rPr>
          <t xml:space="preserve">o Return to this cell the lesser of:
• 0, and
• The greater of
   o The negative of the sum of BOP Balance + Investor Accruals + Tier 1 Accrual Distribution, and
   o The negative of the Investor pro-rata share of all Remaining Cash to Distribute from Tier 1.
• The first portion of the formula simply says that the value that will end up in this cell will not be greater than 0, since distributions are accounted for in this tab as negative values.
• The second portion of the formula tells the spreadsheet to find out which value is greater: 
o The sum of the BOP Balance and Tier 2 Investor Accruals, less the Tier 1 Accrual Distribution (since the Tier 1 Distribution is a negative number), and
o The Investor pro-rata share of the remaining cash flows to distribute after the Tier 1 distribution has been extracted.
</t>
        </r>
        <r>
          <rPr>
            <b/>
            <sz val="8"/>
            <color indexed="81"/>
            <rFont val="Tahoma"/>
            <family val="2"/>
          </rPr>
          <t xml:space="preserve">
</t>
        </r>
      </text>
    </comment>
    <comment ref="B49" authorId="1" shapeId="0">
      <text>
        <r>
          <rPr>
            <sz val="11"/>
            <color indexed="81"/>
            <rFont val="Tahoma"/>
            <family val="2"/>
          </rPr>
          <t>Return to this cell the greater of:
• 0, and
• The lesser of
   o The negative value of the sum of Investor Injections + the Tier 2 Accrual Distribution, and
   o The BOP Balance + Tier 2 Investor Accruals</t>
        </r>
        <r>
          <rPr>
            <b/>
            <sz val="8"/>
            <color indexed="81"/>
            <rFont val="Tahoma"/>
            <family val="2"/>
          </rPr>
          <t xml:space="preserve">
</t>
        </r>
      </text>
    </comment>
    <comment ref="B50" authorId="1" shapeId="0">
      <text>
        <r>
          <rPr>
            <sz val="11"/>
            <color indexed="81"/>
            <rFont val="Tahoma"/>
            <family val="2"/>
          </rPr>
          <t>The pro-rata amount of the total Tier 2 Accrual Distribution.</t>
        </r>
      </text>
    </comment>
    <comment ref="B51" authorId="1" shapeId="0">
      <text>
        <r>
          <rPr>
            <sz val="11"/>
            <color indexed="81"/>
            <rFont val="Tahoma"/>
            <family val="2"/>
          </rPr>
          <t>The Promote of 10% times the total Tier 2 Accrual Distribution Amount.</t>
        </r>
      </text>
    </comment>
    <comment ref="B53" authorId="1" shapeId="0">
      <text>
        <r>
          <rPr>
            <sz val="11"/>
            <color indexed="81"/>
            <rFont val="Tahoma"/>
            <family val="2"/>
          </rPr>
          <t>The difference between the Tier 1 Remaining Cash to Distribute and all Tier 2 Cash Flows in Rows 49 through 51.</t>
        </r>
      </text>
    </comment>
    <comment ref="B55" authorId="1" shapeId="0">
      <text>
        <r>
          <rPr>
            <sz val="11"/>
            <color indexed="81"/>
            <rFont val="Tahoma"/>
            <family val="2"/>
          </rPr>
          <t>Tier 3, which is the last Tier, there is not a top end to the IRR range, and as such, this Tier captures all cash flows that apply to an IRR greater than the Hurdle rate, or top end of the range, for Tier 2.</t>
        </r>
        <r>
          <rPr>
            <sz val="8"/>
            <color indexed="81"/>
            <rFont val="Tahoma"/>
            <family val="2"/>
          </rPr>
          <t xml:space="preserve">
</t>
        </r>
      </text>
    </comment>
  </commentList>
</comments>
</file>

<file path=xl/comments4.xml><?xml version="1.0" encoding="utf-8"?>
<comments xmlns="http://schemas.openxmlformats.org/spreadsheetml/2006/main">
  <authors>
    <author xml:space="preserve"> </author>
  </authors>
  <commentList>
    <comment ref="B14" authorId="0" shapeId="0">
      <text>
        <r>
          <rPr>
            <sz val="11"/>
            <color indexed="81"/>
            <rFont val="Tahoma"/>
            <family val="2"/>
          </rPr>
          <t>Values are negative when there is an equity investment being made, and they are positive when there is a distribution being made.  Otherwise, they are 0.</t>
        </r>
      </text>
    </comment>
    <comment ref="B15" authorId="0" shapeId="0">
      <text>
        <r>
          <rPr>
            <sz val="11"/>
            <color indexed="81"/>
            <rFont val="Tahoma"/>
            <family val="2"/>
          </rPr>
          <t xml:space="preserve">If there is a distribution being made in this month, then return that value; otherwise, return 0.
</t>
        </r>
      </text>
    </comment>
    <comment ref="D20" authorId="0" shapeId="0">
      <text>
        <r>
          <rPr>
            <sz val="11"/>
            <color indexed="81"/>
            <rFont val="Tahoma"/>
            <family val="2"/>
          </rPr>
          <t>This 10% flows from the Waterfall Structure table above, and it in turn drives the Investor Accrual calculations in Row 23 below.</t>
        </r>
      </text>
    </comment>
    <comment ref="B21" authorId="0" shapeId="0">
      <text>
        <r>
          <rPr>
            <sz val="11"/>
            <color indexed="81"/>
            <rFont val="Tahoma"/>
            <family val="2"/>
          </rPr>
          <t>EOP Balance from previous period.</t>
        </r>
        <r>
          <rPr>
            <sz val="8"/>
            <color indexed="81"/>
            <rFont val="Tahoma"/>
            <family val="2"/>
          </rPr>
          <t xml:space="preserve">
</t>
        </r>
      </text>
    </comment>
    <comment ref="B22" authorId="0" shapeId="0">
      <text>
        <r>
          <rPr>
            <sz val="11"/>
            <color indexed="81"/>
            <rFont val="Tahoma"/>
            <family val="2"/>
          </rPr>
          <t>The negative of the values from Row 18.</t>
        </r>
      </text>
    </comment>
    <comment ref="B23" authorId="0" shapeId="0">
      <text>
        <r>
          <rPr>
            <sz val="11"/>
            <color indexed="81"/>
            <rFont val="Tahoma"/>
            <family val="2"/>
          </rPr>
          <t>Row 23 is the calculation of the Investor Accruals during each period.  This formula is simply the Beginning of Period Balance compounded by the monthly equivalent of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24" authorId="0" shapeId="0">
      <text>
        <r>
          <rPr>
            <sz val="11"/>
            <color indexed="81"/>
            <rFont val="Tahoma"/>
            <family val="2"/>
          </rPr>
          <t xml:space="preserve">Calculates what total amount, if any, should be distributed, or paid out, to the Sponsor and Investor entities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16.
</t>
        </r>
      </text>
    </comment>
    <comment ref="S24" authorId="0" shapeId="0">
      <text>
        <r>
          <rPr>
            <sz val="11"/>
            <color indexed="81"/>
            <rFont val="Tahoma"/>
            <family val="2"/>
          </rPr>
          <t>The negative $15.69 million value in Cell S24 is the smaller negative number of the negative of the sum of the BOP Balance + Investor Injections + Investor Accruals, and the negative of 90% of the Total Project Equity Flows of $33.1 million, or negative $29.9 million.  If the formula did not choose the smaller of these two negative numbers, it would mistakenly distribute the $29.9 million in Tier 1 when $15.67 million should continue to flow down to Tier 2 as remaining cash to distribute.</t>
        </r>
      </text>
    </comment>
    <comment ref="B26" authorId="0" shapeId="0">
      <text>
        <r>
          <rPr>
            <sz val="11"/>
            <color indexed="81"/>
            <rFont val="Tahoma"/>
            <family val="2"/>
          </rPr>
          <t>In this next section, we now partition, or break out, the amounts of cash flow allocated to the IRR performance range unique to this Tier that is to go to the Investor vs. to the Top-Level Sponsor.</t>
        </r>
      </text>
    </comment>
    <comment ref="B27" authorId="0" shapeId="0">
      <text>
        <r>
          <rPr>
            <sz val="11"/>
            <color indexed="81"/>
            <rFont val="Tahoma"/>
            <family val="2"/>
          </rPr>
          <t xml:space="preserve">Return to this cell the lesser of:
• The negative of the sum of Investor Injections + Accrual Distributions, and
• The BOP Balance + Investor Accruals.
</t>
        </r>
      </text>
    </comment>
    <comment ref="H27" authorId="0" shapeId="0">
      <text>
        <r>
          <rPr>
            <sz val="11"/>
            <color indexed="81"/>
            <rFont val="Tahoma"/>
            <family val="2"/>
          </rPr>
          <t>As we move across this line, the values are identical to the negative Investor Injection amounts in Row 22, except in the period of Distribution, where the Cash Flow becomes positive.</t>
        </r>
      </text>
    </comment>
    <comment ref="B28" authorId="0" shapeId="0">
      <text>
        <r>
          <rPr>
            <sz val="11"/>
            <color indexed="81"/>
            <rFont val="Tahoma"/>
            <family val="2"/>
          </rPr>
          <t>The calculation of the Top-Level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29" authorId="0" shapeId="0">
      <text>
        <r>
          <rPr>
            <sz val="11"/>
            <color indexed="81"/>
            <rFont val="Tahoma"/>
            <family val="2"/>
          </rPr>
          <t>The same calculation, but for the Top-Level Sponsor Promote, which in this case is 0%, but will be a positive percentage in the subsequent Tiers.</t>
        </r>
      </text>
    </comment>
    <comment ref="B31" authorId="0" shapeId="0">
      <text>
        <r>
          <rPr>
            <sz val="11"/>
            <color indexed="81"/>
            <rFont val="Tahoma"/>
            <family val="2"/>
          </rPr>
          <t>Calculates what residual cash flow exists after the distributions allocated to Tier 1 are made.
• The formula here says the following:
  o If the Investor cash flow in Row 27 is negative, then return the value 0, otherwise, return the difference between Total Project Distributions in Row 15 and the sum of all of the Cash Flow calculated in Rows 27 through 29.
Once again, we notice that this line is not populated with a value other than 0 until the last period, where we can see that the Remaining Cash to Distribute of approximately $18.67 million is the difference between the approximately $40 million of Total Project Distributions in Row 15 and the approximately $21.4 million in distributions in Rows 27 and 28.
• We should also take note that in the final period the End of Period balance is 0, and that this will be the case in all of the Tiers.</t>
        </r>
        <r>
          <rPr>
            <b/>
            <sz val="8"/>
            <color indexed="81"/>
            <rFont val="Tahoma"/>
            <family val="2"/>
          </rPr>
          <t xml:space="preserve">
</t>
        </r>
      </text>
    </comment>
    <comment ref="B33" authorId="0" shapeId="0">
      <text>
        <r>
          <rPr>
            <sz val="11"/>
            <color indexed="81"/>
            <rFont val="Tahoma"/>
            <family val="2"/>
          </rPr>
          <t>The line items in Tier 2 are identical to those of Tier 1 except for the addition in Row 38 of the Tier 2 Accrual Distribution line.</t>
        </r>
      </text>
    </comment>
    <comment ref="B36" authorId="0" shapeId="0">
      <text>
        <r>
          <rPr>
            <sz val="11"/>
            <color indexed="81"/>
            <rFont val="Tahoma"/>
            <family val="2"/>
          </rPr>
          <t>Drives off of the Tier 2 hurdle rate of 15%, and we see as we follow this across that the values in the line are larger than those in the Tier 1 Investor Accruals line in Row 23 due to this higher hurdle rate of 15% vs. 10%.</t>
        </r>
      </text>
    </comment>
    <comment ref="B38" authorId="0" shapeId="0">
      <text>
        <r>
          <rPr>
            <sz val="11"/>
            <color indexed="81"/>
            <rFont val="Tahoma"/>
            <family val="2"/>
          </rPr>
          <t xml:space="preserve">o Return to this cell the lesser of:
• 0, and
• The greater of
   o The negative of the sum of BOP Balance + Investor Accruals + Tier 1 Accrual Distribution, and
   o The negative of the Investor pro-rata share of all Remaining Cash to Distribute from Tier 1.
• The first portion of the formula simply says that the value that will end up in this cell will not be greater than 0, since distributions are accounted for in this tab as negative values.
• The second portion of the formula tells the spreadsheet to find out which value is greater: 
o The sum of the BOP Balance and Tier 2 Investor Accruals, less the Tier 1 Accrual Distribution (since the Tier 1 Distribution is a negative number), and
o The Investor pro-rata share of the remaining cash flows to distribute after the Tier 1 distribution has been extracted.
</t>
        </r>
        <r>
          <rPr>
            <b/>
            <sz val="8"/>
            <color indexed="81"/>
            <rFont val="Tahoma"/>
            <family val="2"/>
          </rPr>
          <t xml:space="preserve">
</t>
        </r>
      </text>
    </comment>
    <comment ref="B41" authorId="0" shapeId="0">
      <text>
        <r>
          <rPr>
            <sz val="11"/>
            <color indexed="81"/>
            <rFont val="Tahoma"/>
            <family val="2"/>
          </rPr>
          <t>Return to this cell the greater of:
• 0, and
• The lesser of
   o The negative value of the sum of Investor Injections + the Tier 2 Accrual Distribution, and
   o The BOP Balance + Tier 2 Investor Accruals</t>
        </r>
        <r>
          <rPr>
            <b/>
            <sz val="8"/>
            <color indexed="81"/>
            <rFont val="Tahoma"/>
            <family val="2"/>
          </rPr>
          <t xml:space="preserve">
</t>
        </r>
      </text>
    </comment>
    <comment ref="B42" authorId="0" shapeId="0">
      <text>
        <r>
          <rPr>
            <sz val="11"/>
            <color indexed="81"/>
            <rFont val="Tahoma"/>
            <family val="2"/>
          </rPr>
          <t>The pro-rata amount of the total Tier 2 Accrual Distribution.</t>
        </r>
      </text>
    </comment>
    <comment ref="B43" authorId="0" shapeId="0">
      <text>
        <r>
          <rPr>
            <sz val="11"/>
            <color indexed="81"/>
            <rFont val="Tahoma"/>
            <family val="2"/>
          </rPr>
          <t>The Promote of 10% times the total Tier 2 Accrual Distribution Amount.</t>
        </r>
      </text>
    </comment>
    <comment ref="B45" authorId="0" shapeId="0">
      <text>
        <r>
          <rPr>
            <sz val="11"/>
            <color indexed="81"/>
            <rFont val="Tahoma"/>
            <family val="2"/>
          </rPr>
          <t>The difference between the Tier 1 Remaining Cash to Distribute and all Cash Flows in Rows 41 through 43.</t>
        </r>
      </text>
    </comment>
    <comment ref="B78" authorId="0" shapeId="0">
      <text>
        <r>
          <rPr>
            <sz val="11"/>
            <color indexed="81"/>
            <rFont val="Tahoma"/>
            <family val="2"/>
          </rPr>
          <t>Tier 5, which is the last Tier, there is not a top end to the IRR range, and as such, this Tier captures all cash flows that apply to an IRR greater than the Hurdle rate, or top end of the range, for Tier 4</t>
        </r>
        <r>
          <rPr>
            <sz val="8"/>
            <color indexed="81"/>
            <rFont val="Tahoma"/>
            <family val="2"/>
          </rPr>
          <t xml:space="preserve">
</t>
        </r>
      </text>
    </comment>
  </commentList>
</comments>
</file>

<file path=xl/comments5.xml><?xml version="1.0" encoding="utf-8"?>
<comments xmlns="http://schemas.openxmlformats.org/spreadsheetml/2006/main">
  <authors>
    <author xml:space="preserve"> </author>
    <author>Bruce Kirsch</author>
  </authors>
  <commentList>
    <comment ref="B14" authorId="0" shapeId="0">
      <text>
        <r>
          <rPr>
            <sz val="11"/>
            <color indexed="81"/>
            <rFont val="Tahoma"/>
            <family val="2"/>
          </rPr>
          <t>Values are negative when there is an equity investment being made, and they are positive when there is a distribution being made.  Otherwise, they are 0.</t>
        </r>
      </text>
    </comment>
    <comment ref="B15" authorId="0" shapeId="0">
      <text>
        <r>
          <rPr>
            <sz val="11"/>
            <color indexed="81"/>
            <rFont val="Tahoma"/>
            <family val="2"/>
          </rPr>
          <t xml:space="preserve">If there is a distribution being made in this month, then return that value; otherwise, return 0.
</t>
        </r>
      </text>
    </comment>
    <comment ref="D20" authorId="0" shapeId="0">
      <text>
        <r>
          <rPr>
            <sz val="11"/>
            <color indexed="81"/>
            <rFont val="Tahoma"/>
            <family val="2"/>
          </rPr>
          <t>This 10% flows from the Waterfall Structure table above, and it in turn drives the Investor Accrual calculations in Row 23 below.</t>
        </r>
      </text>
    </comment>
    <comment ref="B21" authorId="0" shapeId="0">
      <text>
        <r>
          <rPr>
            <sz val="11"/>
            <color indexed="81"/>
            <rFont val="Tahoma"/>
            <family val="2"/>
          </rPr>
          <t>EOP Balance from previous period.</t>
        </r>
        <r>
          <rPr>
            <sz val="8"/>
            <color indexed="81"/>
            <rFont val="Tahoma"/>
            <family val="2"/>
          </rPr>
          <t xml:space="preserve">
</t>
        </r>
      </text>
    </comment>
    <comment ref="B22" authorId="0" shapeId="0">
      <text>
        <r>
          <rPr>
            <sz val="11"/>
            <color indexed="81"/>
            <rFont val="Tahoma"/>
            <family val="2"/>
          </rPr>
          <t>The negative of the values from Row 18.</t>
        </r>
      </text>
    </comment>
    <comment ref="B23" authorId="0" shapeId="0">
      <text>
        <r>
          <rPr>
            <sz val="11"/>
            <color indexed="81"/>
            <rFont val="Tahoma"/>
            <family val="2"/>
          </rPr>
          <t>Row 23 is the calculation of the Investor Accruals during each period.  This formula is simply the Beginning of Period Balance compounded by the monthly equivalent of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24" authorId="0" shapeId="0">
      <text>
        <r>
          <rPr>
            <sz val="11"/>
            <color indexed="81"/>
            <rFont val="Tahoma"/>
            <family val="2"/>
          </rPr>
          <t xml:space="preserve">Calculates what total amount, if any, should be distributed, or paid out, to the Sponsor and Investor entities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16.
</t>
        </r>
      </text>
    </comment>
    <comment ref="S24" authorId="0" shapeId="0">
      <text>
        <r>
          <rPr>
            <sz val="11"/>
            <color indexed="81"/>
            <rFont val="Tahoma"/>
            <family val="2"/>
          </rPr>
          <t>The negative $15.69 million value in Cell S24 is the smaller negative number of the negative of the sum of the BOP Balance + Investor Injections + Investor Accruals, and the negative of 90% of the Total Project Equity Flows of $33.1 million, or negative $29.9 million.  If the formula did not choose the smaller of these two negative numbers, it would mistakenly distribute the $29.9 million in Tier 1 when $15.67 million should continue to flow down to Tier 2 as remaining cash to distribute.</t>
        </r>
      </text>
    </comment>
    <comment ref="B26" authorId="0" shapeId="0">
      <text>
        <r>
          <rPr>
            <sz val="11"/>
            <color indexed="81"/>
            <rFont val="Tahoma"/>
            <family val="2"/>
          </rPr>
          <t>In this next section, we now partition, or break out, the amounts of cash flow allocated to the IRR performance range unique to this Tier that is to go to the Investor vs. to the Top-Level Sponsor.</t>
        </r>
      </text>
    </comment>
    <comment ref="B27" authorId="0" shapeId="0">
      <text>
        <r>
          <rPr>
            <sz val="11"/>
            <color indexed="81"/>
            <rFont val="Tahoma"/>
            <family val="2"/>
          </rPr>
          <t xml:space="preserve">Return to this cell the lesser of:
• The negative of the sum of Investor Injections + Accrual Distributions, and
• The BOP Balance + Investor Accruals.
</t>
        </r>
      </text>
    </comment>
    <comment ref="H27" authorId="0" shapeId="0">
      <text>
        <r>
          <rPr>
            <sz val="11"/>
            <color indexed="81"/>
            <rFont val="Tahoma"/>
            <family val="2"/>
          </rPr>
          <t>As we move across this line, the values are identical to the negative Investor Injection amounts in Row 22, except in the period of Distribution, where the Cash Flow becomes positive.</t>
        </r>
      </text>
    </comment>
    <comment ref="B28" authorId="0" shapeId="0">
      <text>
        <r>
          <rPr>
            <sz val="11"/>
            <color indexed="81"/>
            <rFont val="Tahoma"/>
            <family val="2"/>
          </rPr>
          <t>The calculation of the Top-Level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29" authorId="0" shapeId="0">
      <text>
        <r>
          <rPr>
            <sz val="11"/>
            <color indexed="81"/>
            <rFont val="Tahoma"/>
            <family val="2"/>
          </rPr>
          <t>The same calculation, but for the Top-Level Sponsor Promote, which in this case is 0%, but will be a positive percentage in the subsequent Tiers.</t>
        </r>
      </text>
    </comment>
    <comment ref="B31" authorId="0" shapeId="0">
      <text>
        <r>
          <rPr>
            <sz val="11"/>
            <color indexed="81"/>
            <rFont val="Tahoma"/>
            <family val="2"/>
          </rPr>
          <t>Calculates what residual cash flow exists after the distributions allocated to Tier 1 are made.
• The formula here says the following:
  o If the Investor cash flow in Row 27 is negative, then return the value 0, otherwise, return the difference between Total Project Distributions in Row 15 and the sum of all of the Cash Flow calculated in Rows 27 through 29.
Once again, we notice that this line is not populated with a value other than 0 until the last period, where we can see that the Remaining Cash to Distribute of approximately $18.67 million is the difference between the approximately $40 million of Total Project Distributions in Row 15 and the approximately $21.4 million in distributions in Rows 27 and 28.
• We should also take note that in the final period the End of Period balance is 0, and that this will be the case in all of the Tiers.</t>
        </r>
        <r>
          <rPr>
            <b/>
            <sz val="8"/>
            <color indexed="81"/>
            <rFont val="Tahoma"/>
            <family val="2"/>
          </rPr>
          <t xml:space="preserve">
</t>
        </r>
      </text>
    </comment>
    <comment ref="B33" authorId="0" shapeId="0">
      <text>
        <r>
          <rPr>
            <sz val="11"/>
            <color indexed="81"/>
            <rFont val="Tahoma"/>
            <family val="2"/>
          </rPr>
          <t>The line items in Tier 2 are identical to those of Tier 1 except for the addition in Row 38 of the Tier 2 Accrual Distribution line.</t>
        </r>
      </text>
    </comment>
    <comment ref="B36" authorId="0" shapeId="0">
      <text>
        <r>
          <rPr>
            <sz val="11"/>
            <color indexed="81"/>
            <rFont val="Tahoma"/>
            <family val="2"/>
          </rPr>
          <t>Drives off of the Tier 2 hurdle rate of 15%, and we see as we follow this across that the values in the line are larger than those in the Tier 1 Investor Accruals line in Row 23 due to this higher hurdle rate of 15% vs. 10%.</t>
        </r>
      </text>
    </comment>
    <comment ref="B38" authorId="0" shapeId="0">
      <text>
        <r>
          <rPr>
            <sz val="11"/>
            <color indexed="81"/>
            <rFont val="Tahoma"/>
            <family val="2"/>
          </rPr>
          <t xml:space="preserve">o Return to this cell the lesser of:
• 0, and
• The greater of
   o The negative of the sum of BOP Balance + Investor Accruals + Tier 1 Accrual Distribution, and
   o The negative of the Investor pro-rata share of all Remaining Cash to Distribute from Tier 1.
• The first portion of the formula simply says that the value that will end up in this cell will not be greater than 0, since distributions are accounted for in this tab as negative values.
• The second portion of the formula tells the spreadsheet to find out which value is greater: 
o The sum of the BOP Balance and Tier 2 Investor Accruals, less the Tier 1 Accrual Distribution (since the Tier 1 Distribution is a negative number), and
o The Investor pro-rata share of the remaining cash flows to distribute after the Tier 1 distribution has been extracted.
</t>
        </r>
        <r>
          <rPr>
            <b/>
            <sz val="8"/>
            <color indexed="81"/>
            <rFont val="Tahoma"/>
            <family val="2"/>
          </rPr>
          <t xml:space="preserve">
</t>
        </r>
      </text>
    </comment>
    <comment ref="B41" authorId="0" shapeId="0">
      <text>
        <r>
          <rPr>
            <sz val="11"/>
            <color indexed="81"/>
            <rFont val="Tahoma"/>
            <family val="2"/>
          </rPr>
          <t>Return to this cell the greater of:
• 0, and
• The lesser of
   o The negative value of the sum of Investor Injections + the Tier 2 Accrual Distribution, and
   o The BOP Balance + Tier 2 Investor Accruals</t>
        </r>
        <r>
          <rPr>
            <b/>
            <sz val="8"/>
            <color indexed="81"/>
            <rFont val="Tahoma"/>
            <family val="2"/>
          </rPr>
          <t xml:space="preserve">
</t>
        </r>
      </text>
    </comment>
    <comment ref="B42" authorId="0" shapeId="0">
      <text>
        <r>
          <rPr>
            <sz val="11"/>
            <color indexed="81"/>
            <rFont val="Tahoma"/>
            <family val="2"/>
          </rPr>
          <t>The pro-rata amount of the total Tier 2 Accrual Distribution.</t>
        </r>
      </text>
    </comment>
    <comment ref="B43" authorId="0" shapeId="0">
      <text>
        <r>
          <rPr>
            <sz val="11"/>
            <color indexed="81"/>
            <rFont val="Tahoma"/>
            <family val="2"/>
          </rPr>
          <t>The Promote of 10% times the total Tier 2 Accrual Distribution Amount.</t>
        </r>
      </text>
    </comment>
    <comment ref="B45" authorId="0" shapeId="0">
      <text>
        <r>
          <rPr>
            <sz val="11"/>
            <color indexed="81"/>
            <rFont val="Tahoma"/>
            <family val="2"/>
          </rPr>
          <t>The difference between the Tier 1 Remaining Cash to Distribute and all Cash Flows in Rows 41 through 43.</t>
        </r>
      </text>
    </comment>
    <comment ref="H48" authorId="1" shapeId="0">
      <text>
        <r>
          <rPr>
            <b/>
            <sz val="9"/>
            <color indexed="81"/>
            <rFont val="Tahoma"/>
            <family val="2"/>
          </rPr>
          <t xml:space="preserve">Exercise:
</t>
        </r>
        <r>
          <rPr>
            <sz val="9"/>
            <color indexed="81"/>
            <rFont val="Tahoma"/>
            <family val="2"/>
          </rPr>
          <t xml:space="preserve">Build out these line items and then check them against the solutions in tab 7.
</t>
        </r>
      </text>
    </comment>
    <comment ref="B78" authorId="0" shapeId="0">
      <text>
        <r>
          <rPr>
            <sz val="11"/>
            <color indexed="81"/>
            <rFont val="Tahoma"/>
            <family val="2"/>
          </rPr>
          <t>Tier 5, which is the last Tier, there is not a top end to the IRR range, and as such, this Tier captures all cash flows that apply to an IRR greater than the Hurdle rate, or top end of the range, for Tier 4</t>
        </r>
        <r>
          <rPr>
            <sz val="8"/>
            <color indexed="81"/>
            <rFont val="Tahoma"/>
            <family val="2"/>
          </rPr>
          <t xml:space="preserve">
</t>
        </r>
      </text>
    </comment>
  </commentList>
</comments>
</file>

<file path=xl/comments6.xml><?xml version="1.0" encoding="utf-8"?>
<comments xmlns="http://schemas.openxmlformats.org/spreadsheetml/2006/main">
  <authors>
    <author xml:space="preserve"> </author>
  </authors>
  <commentList>
    <comment ref="B16" authorId="0" shapeId="0">
      <text>
        <r>
          <rPr>
            <sz val="11"/>
            <color indexed="81"/>
            <rFont val="Tahoma"/>
            <family val="2"/>
          </rPr>
          <t>Comes from Waterfall #1 tab.</t>
        </r>
      </text>
    </comment>
    <comment ref="B18" authorId="0" shapeId="0">
      <text>
        <r>
          <rPr>
            <sz val="11"/>
            <color indexed="81"/>
            <rFont val="Tahoma"/>
            <family val="2"/>
          </rPr>
          <t>Comes from Waterfall #1 tab.</t>
        </r>
      </text>
    </comment>
    <comment ref="B19" authorId="0" shapeId="0">
      <text>
        <r>
          <rPr>
            <sz val="11"/>
            <color indexed="81"/>
            <rFont val="Tahoma"/>
            <family val="2"/>
          </rPr>
          <t>Comes from Waterfall #1 tab.</t>
        </r>
      </text>
    </comment>
    <comment ref="B28" authorId="0" shapeId="0">
      <text>
        <r>
          <rPr>
            <sz val="11"/>
            <color indexed="81"/>
            <rFont val="Tahoma"/>
            <family val="2"/>
          </rPr>
          <t>The lesser of 0 and the greater of Partner Cash Flow and BOP Balance and Partner Accruals.</t>
        </r>
      </text>
    </comment>
    <comment ref="B35" authorId="0" shapeId="0">
      <text>
        <r>
          <rPr>
            <sz val="11"/>
            <color indexed="81"/>
            <rFont val="Tahoma"/>
            <family val="2"/>
          </rPr>
          <t>Confirms that there is in fact remaining cash to distribute after Waterfall #1 has run.</t>
        </r>
      </text>
    </comment>
  </commentList>
</comments>
</file>

<file path=xl/comments7.xml><?xml version="1.0" encoding="utf-8"?>
<comments xmlns="http://schemas.openxmlformats.org/spreadsheetml/2006/main">
  <authors>
    <author>Bruce Kirsch</author>
  </authors>
  <commentList>
    <comment ref="F25" authorId="0" shapeId="0">
      <text>
        <r>
          <rPr>
            <b/>
            <sz val="12"/>
            <color indexed="81"/>
            <rFont val="Tahoma"/>
            <family val="2"/>
          </rPr>
          <t xml:space="preserve">Structuring your profit sharing
</t>
        </r>
        <r>
          <rPr>
            <sz val="12"/>
            <color indexed="81"/>
            <rFont val="Tahoma"/>
            <family val="2"/>
          </rPr>
          <t xml:space="preserve">Do these splits seem reasonable, or are they way out of balance?  If they are not likely to be achieved, they need to be adjusted on the Waterfall #1 tab.
</t>
        </r>
      </text>
    </comment>
    <comment ref="F37" authorId="0" shapeId="0">
      <text>
        <r>
          <rPr>
            <b/>
            <sz val="12"/>
            <color indexed="81"/>
            <rFont val="Tahoma"/>
            <family val="2"/>
          </rPr>
          <t xml:space="preserve">Structuring your profit sharing
</t>
        </r>
        <r>
          <rPr>
            <sz val="12"/>
            <color indexed="81"/>
            <rFont val="Tahoma"/>
            <family val="2"/>
          </rPr>
          <t xml:space="preserve">Do these splits seem reasonable, or are they way out of balance?  If they are not likely to be achieved, they need to be adjusted on the Waterfall #2 tab.
</t>
        </r>
      </text>
    </comment>
  </commentList>
</comments>
</file>

<file path=xl/comments8.xml><?xml version="1.0" encoding="utf-8"?>
<comments xmlns="http://schemas.openxmlformats.org/spreadsheetml/2006/main">
  <authors>
    <author xml:space="preserve"> </author>
  </authors>
  <commentList>
    <comment ref="B14" authorId="0" shapeId="0">
      <text>
        <r>
          <rPr>
            <sz val="11"/>
            <color indexed="81"/>
            <rFont val="Tahoma"/>
            <family val="2"/>
          </rPr>
          <t>Values are negative when there is an equity investment being made, and they are positive when there is a distribution being made.  Otherwise, they are 0.</t>
        </r>
      </text>
    </comment>
    <comment ref="B15" authorId="0" shapeId="0">
      <text>
        <r>
          <rPr>
            <sz val="11"/>
            <color indexed="81"/>
            <rFont val="Tahoma"/>
            <family val="2"/>
          </rPr>
          <t xml:space="preserve">If there is a distribution being made in this month, then return that value; otherwise, return 0.
</t>
        </r>
      </text>
    </comment>
    <comment ref="D27" authorId="0" shapeId="0">
      <text>
        <r>
          <rPr>
            <sz val="11"/>
            <color indexed="81"/>
            <rFont val="Tahoma"/>
            <family val="2"/>
          </rPr>
          <t>This 10% flows from the Waterfall Structure table above, and it in turn drives the Investor Accrual calculations in Row 23 below.</t>
        </r>
      </text>
    </comment>
    <comment ref="B28" authorId="0" shapeId="0">
      <text>
        <r>
          <rPr>
            <sz val="11"/>
            <color indexed="81"/>
            <rFont val="Tahoma"/>
            <family val="2"/>
          </rPr>
          <t>EOP Balance from previous period.</t>
        </r>
        <r>
          <rPr>
            <sz val="8"/>
            <color indexed="81"/>
            <rFont val="Tahoma"/>
            <family val="2"/>
          </rPr>
          <t xml:space="preserve">
</t>
        </r>
      </text>
    </comment>
    <comment ref="B29" authorId="0" shapeId="0">
      <text>
        <r>
          <rPr>
            <sz val="11"/>
            <color indexed="81"/>
            <rFont val="Tahoma"/>
            <family val="2"/>
          </rPr>
          <t>The negative of the values from Row 18.</t>
        </r>
      </text>
    </comment>
    <comment ref="B30" authorId="0" shapeId="0">
      <text>
        <r>
          <rPr>
            <sz val="11"/>
            <color indexed="81"/>
            <rFont val="Tahoma"/>
            <family val="2"/>
          </rPr>
          <t>Row 23 is the calculation of the Investor Accruals during each period.  This formula is simply the Beginning of Period Balance compounded by the monthly equivalent of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31" authorId="0" shapeId="0">
      <text>
        <r>
          <rPr>
            <sz val="11"/>
            <color indexed="81"/>
            <rFont val="Tahoma"/>
            <family val="2"/>
          </rPr>
          <t xml:space="preserve">Calculates what total amount, if any, should be distributed, or paid out, to the Sponsor and Investor entities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16.
</t>
        </r>
      </text>
    </comment>
    <comment ref="S31" authorId="0" shapeId="0">
      <text>
        <r>
          <rPr>
            <sz val="11"/>
            <color indexed="81"/>
            <rFont val="Tahoma"/>
            <family val="2"/>
          </rPr>
          <t>The negative $15.69 million value in Cell S24 is the smaller negative number of the negative of the sum of the BOP Balance + Investor Injections + Investor Accruals, and the negative of 90% of the Total Project Equity Flows of $33.1 million, or negative $29.9 million.  If the formula did not choose the smaller of these two negative numbers, it would mistakenly distribute the $29.9 million in Tier 1 when $15.67 million should continue to flow down to Tier 2 as remaining cash to distribute.</t>
        </r>
      </text>
    </comment>
    <comment ref="B33" authorId="0" shapeId="0">
      <text>
        <r>
          <rPr>
            <sz val="11"/>
            <color indexed="81"/>
            <rFont val="Tahoma"/>
            <family val="2"/>
          </rPr>
          <t>In this next section, we now partition, or break out, the amounts of cash flow allocated to the IRR performance range unique to this Tier that is to go to the Investor vs. to the Top-Level Sponsor.</t>
        </r>
      </text>
    </comment>
    <comment ref="B34" authorId="0" shapeId="0">
      <text>
        <r>
          <rPr>
            <sz val="11"/>
            <color indexed="81"/>
            <rFont val="Tahoma"/>
            <family val="2"/>
          </rPr>
          <t xml:space="preserve">Return to this cell the lesser of:
• The negative of the sum of Investor Injections + Accrual Distributions, and
• The BOP Balance + Investor Accruals.
</t>
        </r>
      </text>
    </comment>
    <comment ref="H34" authorId="0" shapeId="0">
      <text>
        <r>
          <rPr>
            <sz val="11"/>
            <color indexed="81"/>
            <rFont val="Tahoma"/>
            <family val="2"/>
          </rPr>
          <t>As we move across this line, the values are identical to the negative Investor Injection amounts in Row 22, except in the period of Distribution, where the Cash Flow becomes positive.</t>
        </r>
      </text>
    </comment>
    <comment ref="B35" authorId="0" shapeId="0">
      <text>
        <r>
          <rPr>
            <sz val="11"/>
            <color indexed="81"/>
            <rFont val="Tahoma"/>
            <family val="2"/>
          </rPr>
          <t>The calculation of the Top-Level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36" authorId="0" shapeId="0">
      <text>
        <r>
          <rPr>
            <sz val="11"/>
            <color indexed="81"/>
            <rFont val="Tahoma"/>
            <family val="2"/>
          </rPr>
          <t>The same calculation, but for the Top-Level Sponsor Promote, which in this case is 0%, but will be a positive percentage in the subsequent Tiers.</t>
        </r>
      </text>
    </comment>
    <comment ref="B38" authorId="0" shapeId="0">
      <text>
        <r>
          <rPr>
            <sz val="11"/>
            <color indexed="81"/>
            <rFont val="Tahoma"/>
            <family val="2"/>
          </rPr>
          <t>Calculates what residual cash flow exists after the distributions allocated to Tier 1 are made.
• The formula here says the following:
  o If the Investor cash flow in Row 27 is negative, then return the value 0, otherwise, return the difference between Total Project Distributions in Row 15 and the sum of all of the Cash Flow calculated in Rows 27 through 29.
Once again, we notice that this line is not populated with a value other than 0 until the last period, where we can see that the Remaining Cash to Distribute of approximately $18.67 million is the difference between the approximately $40 million of Total Project Distributions in Row 15 and the approximately $21.4 million in distributions in Rows 27 and 28.
• We should also take note that in the final period the End of Period balance is 0, and that this will be the case in all of the Tiers.</t>
        </r>
        <r>
          <rPr>
            <b/>
            <sz val="8"/>
            <color indexed="81"/>
            <rFont val="Tahoma"/>
            <family val="2"/>
          </rPr>
          <t xml:space="preserve">
</t>
        </r>
      </text>
    </comment>
    <comment ref="D47" authorId="0" shapeId="0">
      <text>
        <r>
          <rPr>
            <sz val="11"/>
            <color indexed="81"/>
            <rFont val="Tahoma"/>
            <family val="2"/>
          </rPr>
          <t>This 10% flows from the Waterfall Structure table above, and it in turn drives the Investor Accrual calculations in Row 23 below.</t>
        </r>
      </text>
    </comment>
    <comment ref="B48" authorId="0" shapeId="0">
      <text>
        <r>
          <rPr>
            <sz val="11"/>
            <color indexed="81"/>
            <rFont val="Tahoma"/>
            <family val="2"/>
          </rPr>
          <t>EOP Balance from previous period.</t>
        </r>
        <r>
          <rPr>
            <sz val="8"/>
            <color indexed="81"/>
            <rFont val="Tahoma"/>
            <family val="2"/>
          </rPr>
          <t xml:space="preserve">
</t>
        </r>
      </text>
    </comment>
    <comment ref="B49" authorId="0" shapeId="0">
      <text>
        <r>
          <rPr>
            <sz val="11"/>
            <color indexed="81"/>
            <rFont val="Tahoma"/>
            <family val="2"/>
          </rPr>
          <t>The negative of the values from Row 18.</t>
        </r>
      </text>
    </comment>
    <comment ref="B50" authorId="0" shapeId="0">
      <text>
        <r>
          <rPr>
            <sz val="11"/>
            <color indexed="81"/>
            <rFont val="Tahoma"/>
            <family val="2"/>
          </rPr>
          <t>Row 23 is the calculation of the Investor Accruals during each period.  This formula is simply the Beginning of Period Balance compounded by the monthly equivalent of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51" authorId="0" shapeId="0">
      <text>
        <r>
          <rPr>
            <sz val="11"/>
            <color indexed="81"/>
            <rFont val="Tahoma"/>
            <family val="2"/>
          </rPr>
          <t xml:space="preserve">Calculates what total amount, if any, should be distributed, or paid out, to the Sponsor and Investor entities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16.
</t>
        </r>
      </text>
    </comment>
    <comment ref="B53" authorId="0" shapeId="0">
      <text>
        <r>
          <rPr>
            <sz val="11"/>
            <color indexed="81"/>
            <rFont val="Tahoma"/>
            <family val="2"/>
          </rPr>
          <t>In this next section, we now partition, or break out, the amounts of cash flow allocated to the IRR performance range unique to this Tier that is to go to the Investor vs. to the Top-Level Sponsor.</t>
        </r>
      </text>
    </comment>
    <comment ref="B54" authorId="0" shapeId="0">
      <text>
        <r>
          <rPr>
            <sz val="11"/>
            <color indexed="81"/>
            <rFont val="Tahoma"/>
            <family val="2"/>
          </rPr>
          <t xml:space="preserve">Return to this cell the lesser of:
• The negative of the sum of Investor Injections + Accrual Distributions, and
• The BOP Balance + Investor Accruals.
</t>
        </r>
      </text>
    </comment>
    <comment ref="H54" authorId="0" shapeId="0">
      <text>
        <r>
          <rPr>
            <sz val="11"/>
            <color indexed="81"/>
            <rFont val="Tahoma"/>
            <family val="2"/>
          </rPr>
          <t>As we move across this line, the values are identical to the negative Investor Injection amounts in Row 22, except in the period of Distribution, where the Cash Flow becomes positive.</t>
        </r>
      </text>
    </comment>
    <comment ref="B55" authorId="0" shapeId="0">
      <text>
        <r>
          <rPr>
            <sz val="11"/>
            <color indexed="81"/>
            <rFont val="Tahoma"/>
            <family val="2"/>
          </rPr>
          <t>The calculation of the Top-Level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56" authorId="0" shapeId="0">
      <text>
        <r>
          <rPr>
            <sz val="11"/>
            <color indexed="81"/>
            <rFont val="Tahoma"/>
            <family val="2"/>
          </rPr>
          <t>The same calculation, but for the Top-Level Sponsor Promote, which in this case is 0%, but will be a positive percentage in the subsequent Tiers.</t>
        </r>
      </text>
    </comment>
    <comment ref="B58" authorId="0" shapeId="0">
      <text>
        <r>
          <rPr>
            <sz val="11"/>
            <color indexed="81"/>
            <rFont val="Tahoma"/>
            <family val="2"/>
          </rPr>
          <t>Calculates what residual cash flow exists after the distributions allocated to Tier 1 are made.
• The formula here says the following:
  o If the Investor cash flow in Row 27 is negative, then return the value 0, otherwise, return the difference between Total Project Distributions in Row 15 and the sum of all of the Cash Flow calculated in Rows 27 through 29.
Once again, we notice that this line is not populated with a value other than 0 until the last period, where we can see that the Remaining Cash to Distribute of approximately $18.67 million is the difference between the approximately $40 million of Total Project Distributions in Row 15 and the approximately $21.4 million in distributions in Rows 27 and 28.
• We should also take note that in the final period the End of Period balance is 0, and that this will be the case in all of the Tiers.</t>
        </r>
        <r>
          <rPr>
            <b/>
            <sz val="8"/>
            <color indexed="81"/>
            <rFont val="Tahoma"/>
            <family val="2"/>
          </rPr>
          <t xml:space="preserve">
</t>
        </r>
      </text>
    </comment>
    <comment ref="D74" authorId="0" shapeId="0">
      <text>
        <r>
          <rPr>
            <sz val="11"/>
            <color indexed="81"/>
            <rFont val="Tahoma"/>
            <family val="2"/>
          </rPr>
          <t>This 10% flows from the Waterfall Structure table above, and it in turn drives the Investor Accrual calculations in Row 23 below.</t>
        </r>
      </text>
    </comment>
    <comment ref="B75" authorId="0" shapeId="0">
      <text>
        <r>
          <rPr>
            <sz val="11"/>
            <color indexed="81"/>
            <rFont val="Tahoma"/>
            <family val="2"/>
          </rPr>
          <t>EOP Balance from previous period.</t>
        </r>
        <r>
          <rPr>
            <sz val="8"/>
            <color indexed="81"/>
            <rFont val="Tahoma"/>
            <family val="2"/>
          </rPr>
          <t xml:space="preserve">
</t>
        </r>
      </text>
    </comment>
    <comment ref="B76" authorId="0" shapeId="0">
      <text>
        <r>
          <rPr>
            <sz val="11"/>
            <color indexed="81"/>
            <rFont val="Tahoma"/>
            <family val="2"/>
          </rPr>
          <t>The negative of the values from Row 18.</t>
        </r>
      </text>
    </comment>
    <comment ref="B77" authorId="0" shapeId="0">
      <text>
        <r>
          <rPr>
            <sz val="11"/>
            <color indexed="81"/>
            <rFont val="Tahoma"/>
            <family val="2"/>
          </rPr>
          <t>Row 23 is the calculation of the Investor Accruals during each period.  This formula is simply the Beginning of Period Balance compounded by the monthly equivalent of the annual Internal Rate of Return hurdle of 10%.
Thus, this calculates a compounded accrual since the BOP Balance is the EOP Balance from the previous period, the latter of which includes the accruals from the previous period.</t>
        </r>
        <r>
          <rPr>
            <sz val="8"/>
            <color indexed="81"/>
            <rFont val="Tahoma"/>
            <family val="2"/>
          </rPr>
          <t xml:space="preserve">
</t>
        </r>
      </text>
    </comment>
    <comment ref="B78" authorId="0" shapeId="0">
      <text>
        <r>
          <rPr>
            <sz val="11"/>
            <color indexed="81"/>
            <rFont val="Tahoma"/>
            <family val="2"/>
          </rPr>
          <t xml:space="preserve">Calculates what total amount, if any, should be distributed, or paid out, to the Sponsor and Investor entities for Tier 1 in each period.
The formula says the following:
• Return to this cell the lesser of:
 0, and
The greater of
  • The negative of the sum of the BOP Balance + Investor Injections + Investor Accruals, and 
  • The negative of the Investor share at this Tier of Total Project Equity Flows
• The first portion of this formula simply says that the value that will end up in this cell will not be greater than 0, since distributions are accounted for in this section of the tab as negative values.
• The second portion of the formula tells the spreadsheet to find out which value is the smaller negative number: 
o The negative of the sum when adding the BOP Balance, Injections and Accruals, or the negative of the Investor share of the Total Project Equity Flows in Row 16.
</t>
        </r>
      </text>
    </comment>
    <comment ref="B80" authorId="0" shapeId="0">
      <text>
        <r>
          <rPr>
            <sz val="11"/>
            <color indexed="81"/>
            <rFont val="Tahoma"/>
            <family val="2"/>
          </rPr>
          <t>In this next section, we now partition, or break out, the amounts of cash flow allocated to the IRR performance range unique to this Tier that is to go to the Investor vs. to the Top-Level Sponsor.</t>
        </r>
      </text>
    </comment>
    <comment ref="B81" authorId="0" shapeId="0">
      <text>
        <r>
          <rPr>
            <sz val="11"/>
            <color indexed="81"/>
            <rFont val="Tahoma"/>
            <family val="2"/>
          </rPr>
          <t xml:space="preserve">Return to this cell the lesser of:
• The negative of the sum of Investor Injections + Accrual Distributions, and
• The BOP Balance + Investor Accruals.
</t>
        </r>
      </text>
    </comment>
    <comment ref="H81" authorId="0" shapeId="0">
      <text>
        <r>
          <rPr>
            <sz val="11"/>
            <color indexed="81"/>
            <rFont val="Tahoma"/>
            <family val="2"/>
          </rPr>
          <t>As we move across this line, the values are identical to the negative Investor Injection amounts in Row 22, except in the period of Distribution, where the Cash Flow becomes positive.</t>
        </r>
      </text>
    </comment>
    <comment ref="B82" authorId="0" shapeId="0">
      <text>
        <r>
          <rPr>
            <sz val="11"/>
            <color indexed="81"/>
            <rFont val="Tahoma"/>
            <family val="2"/>
          </rPr>
          <t>The calculation of the Top-Level Sponsor Cash Flow attributable to the Sponsor Equity investment, i.e., the cash flow proportionate to the Sponsor's pro-rata share of equity invested.  The formula here says the following:
o Return to this cell 10% of the full Accrual Distribution amount at this Tier.</t>
        </r>
        <r>
          <rPr>
            <b/>
            <sz val="11"/>
            <color indexed="81"/>
            <rFont val="Tahoma"/>
            <family val="2"/>
          </rPr>
          <t xml:space="preserve">
</t>
        </r>
      </text>
    </comment>
    <comment ref="B83" authorId="0" shapeId="0">
      <text>
        <r>
          <rPr>
            <sz val="11"/>
            <color indexed="81"/>
            <rFont val="Tahoma"/>
            <family val="2"/>
          </rPr>
          <t>The same calculation, but for the Top-Level Sponsor Promote, which in this case is 0%, but will be a positive percentage in the subsequent Tiers.</t>
        </r>
      </text>
    </comment>
    <comment ref="B85" authorId="0" shapeId="0">
      <text>
        <r>
          <rPr>
            <sz val="11"/>
            <color indexed="81"/>
            <rFont val="Tahoma"/>
            <family val="2"/>
          </rPr>
          <t>Calculates what residual cash flow exists after the distributions allocated to Tier 1 are made.
• The formula here says the following:
  o If the Investor cash flow in Row 27 is negative, then return the value 0, otherwise, return the difference between Total Project Distributions in Row 15 and the sum of all of the Cash Flow calculated in Rows 27 through 29.
Once again, we notice that this line is not populated with a value other than 0 until the last period, where we can see that the Remaining Cash to Distribute of approximately $18.67 million is the difference between the approximately $40 million of Total Project Distributions in Row 15 and the approximately $21.4 million in distributions in Rows 27 and 28.
• We should also take note that in the final period the End of Period balance is 0, and that this will be the case in all of the Tiers.</t>
        </r>
        <r>
          <rPr>
            <b/>
            <sz val="8"/>
            <color indexed="81"/>
            <rFont val="Tahoma"/>
            <family val="2"/>
          </rPr>
          <t xml:space="preserve">
</t>
        </r>
      </text>
    </comment>
  </commentList>
</comments>
</file>

<file path=xl/comments9.xml><?xml version="1.0" encoding="utf-8"?>
<comments xmlns="http://schemas.openxmlformats.org/spreadsheetml/2006/main">
  <authors>
    <author xml:space="preserve"> </author>
  </authors>
  <commentList>
    <comment ref="G17" authorId="0" shapeId="0">
      <text>
        <r>
          <rPr>
            <sz val="11"/>
            <color indexed="81"/>
            <rFont val="Tahoma"/>
            <family val="2"/>
          </rPr>
          <t>Use Goal Seek to determine the value needed to make the IRR hit the Claw back hurdle.</t>
        </r>
      </text>
    </comment>
  </commentList>
</comments>
</file>

<file path=xl/sharedStrings.xml><?xml version="1.0" encoding="utf-8"?>
<sst xmlns="http://schemas.openxmlformats.org/spreadsheetml/2006/main" count="868" uniqueCount="273">
  <si>
    <t>Total</t>
  </si>
  <si>
    <t>Investor</t>
  </si>
  <si>
    <t>Sponsor</t>
  </si>
  <si>
    <t>Owner/Developer</t>
  </si>
  <si>
    <t>Equity Partner</t>
  </si>
  <si>
    <t>Third Party Investor</t>
  </si>
  <si>
    <t>% Equity</t>
  </si>
  <si>
    <t>Profit 
Sharing 
Splits</t>
  </si>
  <si>
    <t>Sponsor Equity</t>
  </si>
  <si>
    <t>Sponsor Promote</t>
  </si>
  <si>
    <t>% Sponsor Equity</t>
  </si>
  <si>
    <t>Owner/Developer Promote</t>
  </si>
  <si>
    <t>Total Required Equity</t>
  </si>
  <si>
    <t>Total Sponsor</t>
  </si>
  <si>
    <t>Total Equity</t>
  </si>
  <si>
    <t>Sponsor Waterfall</t>
  </si>
  <si>
    <t>Top-Level Waterfall</t>
  </si>
  <si>
    <t>Waterfall</t>
  </si>
  <si>
    <t>Real Estate Financial Modeling</t>
  </si>
  <si>
    <t>Compounded accrual of returns</t>
  </si>
  <si>
    <t>Repayment of capital and profits at sale of project</t>
  </si>
  <si>
    <t>Owner/Developer, Equity Partner and Third Party Investor - Two 3-Tier Waterfalls</t>
  </si>
  <si>
    <t>Sample Partnership Structure 1 - Hotel Development and Sale</t>
  </si>
  <si>
    <t>Sample Partnership Structure 2 - Apartment Development and Sale</t>
  </si>
  <si>
    <t>Sponsor and Investor, One 5-Tier Waterfall</t>
  </si>
  <si>
    <t>Residual cash flows split 65%/35%</t>
  </si>
  <si>
    <t>Payment of any unpaid Preferred Return</t>
  </si>
  <si>
    <t>Return of Capital</t>
  </si>
  <si>
    <t>Sample Partnership Structure 3 - Industrial Building Acquisition, Hold and Sale</t>
  </si>
  <si>
    <r>
      <t xml:space="preserve">Cash Flow From </t>
    </r>
    <r>
      <rPr>
        <b/>
        <u/>
        <sz val="14"/>
        <rFont val="Garamond"/>
        <family val="1"/>
      </rPr>
      <t>Operations</t>
    </r>
    <r>
      <rPr>
        <b/>
        <sz val="14"/>
        <rFont val="Garamond"/>
        <family val="1"/>
      </rPr>
      <t>:</t>
    </r>
  </si>
  <si>
    <r>
      <t xml:space="preserve">Cash Flow From </t>
    </r>
    <r>
      <rPr>
        <b/>
        <u/>
        <sz val="14"/>
        <rFont val="Garamond"/>
        <family val="1"/>
      </rPr>
      <t>Sale</t>
    </r>
    <r>
      <rPr>
        <b/>
        <sz val="14"/>
        <rFont val="Garamond"/>
        <family val="1"/>
      </rPr>
      <t>:</t>
    </r>
  </si>
  <si>
    <t>9% Preferred Return, Pari Passu, paid along the way</t>
  </si>
  <si>
    <t>Residual cash flows split 60%/40%</t>
  </si>
  <si>
    <t>IRR</t>
  </si>
  <si>
    <t>Net Profit</t>
  </si>
  <si>
    <t>Net Cash Flow to Investor</t>
  </si>
  <si>
    <t>Net Cash Flow to Sponsor</t>
  </si>
  <si>
    <t xml:space="preserve"> Interest Account Balance</t>
  </si>
  <si>
    <t>Annual Return</t>
  </si>
  <si>
    <t>Total Investment Amount</t>
  </si>
  <si>
    <t>Sponsor Portion</t>
  </si>
  <si>
    <t>Investor Portion</t>
  </si>
  <si>
    <t>Levered Cash Flow</t>
  </si>
  <si>
    <t>Equity Investment</t>
  </si>
  <si>
    <t>Investor Only</t>
  </si>
  <si>
    <t>Preferred Return Structure Type</t>
  </si>
  <si>
    <t>Select Type</t>
  </si>
  <si>
    <t>Sponsor Total</t>
  </si>
  <si>
    <t>Owner/Developer Total</t>
  </si>
  <si>
    <t>Ending Bal.</t>
  </si>
  <si>
    <t>IRR Hurdle</t>
  </si>
  <si>
    <t>Claw-Back Mechanism Illustration</t>
  </si>
  <si>
    <t>Investor entitled to achieve a 12% IRR through a claw back mechanism</t>
  </si>
  <si>
    <t>"Top-Level" Sponsor &gt;&gt;&gt;</t>
  </si>
  <si>
    <t>Investor Capital Account</t>
  </si>
  <si>
    <t>Sponsor Capital Account</t>
  </si>
  <si>
    <t>Cash Flow Required by Investor to Achieve the Claw-Back hurdle of a 12% IRR</t>
  </si>
  <si>
    <t>Tier 1</t>
  </si>
  <si>
    <t>BOP Balance</t>
  </si>
  <si>
    <t>Investor Injections</t>
  </si>
  <si>
    <t>Investor Accruals</t>
  </si>
  <si>
    <t>Tier 1 Accrual Distribution</t>
  </si>
  <si>
    <t>EOP Balance</t>
  </si>
  <si>
    <t>Investor CF</t>
  </si>
  <si>
    <t>Remaining Cash to Distribute</t>
  </si>
  <si>
    <t>Tier 2</t>
  </si>
  <si>
    <t>Tier 2 Accrual Distribution</t>
  </si>
  <si>
    <t>Totals</t>
  </si>
  <si>
    <t>Total Project Invested Equity</t>
  </si>
  <si>
    <t>Total Project Distributions</t>
  </si>
  <si>
    <t>Total Project Equity Flows</t>
  </si>
  <si>
    <t>Third Party Investor Equity Investment ("Investor Injections")</t>
  </si>
  <si>
    <t>IRR through:</t>
  </si>
  <si>
    <t>Total Project Equity*</t>
  </si>
  <si>
    <t>% Split</t>
  </si>
  <si>
    <t>Cash Contribution</t>
  </si>
  <si>
    <t>Investor Share</t>
  </si>
  <si>
    <t>Total Project Equity</t>
  </si>
  <si>
    <t>* Includes pro-rata share of Operating Deficit</t>
  </si>
  <si>
    <t>Tier 3</t>
  </si>
  <si>
    <t>IRR above:</t>
  </si>
  <si>
    <t>RETURNS SUMMARY</t>
  </si>
  <si>
    <t>Total Project Cash Flow</t>
  </si>
  <si>
    <t>Net CF</t>
  </si>
  <si>
    <t>Invested Equity</t>
  </si>
  <si>
    <t>CF Multiple</t>
  </si>
  <si>
    <t>Investor Cash Flow</t>
  </si>
  <si>
    <t>Net Cash Flow</t>
  </si>
  <si>
    <t>Cash Flow Check</t>
  </si>
  <si>
    <t>Must be $0</t>
  </si>
  <si>
    <r>
      <t xml:space="preserve">Internal Rate of Return Check:  if the cash flows clear the Hurdle, the IRR Check will be equal to the </t>
    </r>
    <r>
      <rPr>
        <b/>
        <u/>
        <sz val="10"/>
        <rFont val="Garamond"/>
        <family val="1"/>
      </rPr>
      <t>Hurdle</t>
    </r>
    <r>
      <rPr>
        <b/>
        <sz val="10"/>
        <rFont val="Garamond"/>
        <family val="1"/>
      </rPr>
      <t xml:space="preserve">; if the cash flows do not clear the Hurdle, the IRR Check will be equal to the </t>
    </r>
    <r>
      <rPr>
        <b/>
        <u/>
        <sz val="10"/>
        <rFont val="Garamond"/>
        <family val="1"/>
      </rPr>
      <t>Investor</t>
    </r>
    <r>
      <rPr>
        <b/>
        <sz val="10"/>
        <rFont val="Garamond"/>
        <family val="1"/>
      </rPr>
      <t xml:space="preserve"> IRR.</t>
    </r>
  </si>
  <si>
    <t>IRR Check</t>
  </si>
  <si>
    <t>Equity IRR (Project Level)</t>
  </si>
  <si>
    <r>
      <t xml:space="preserve">(Cash Flows From and To </t>
    </r>
    <r>
      <rPr>
        <b/>
        <u/>
        <sz val="10"/>
        <rFont val="Garamond"/>
        <family val="1"/>
      </rPr>
      <t>Equity</t>
    </r>
    <r>
      <rPr>
        <sz val="10"/>
        <rFont val="Garamond"/>
        <family val="1"/>
      </rPr>
      <t>)</t>
    </r>
  </si>
  <si>
    <t>Project-Level Levered Cash Flow</t>
  </si>
  <si>
    <t>Sponsor Only - Not A Chance!</t>
  </si>
  <si>
    <t>To Both Investor &amp; Sponsor</t>
  </si>
  <si>
    <t>Annual Preferred Return</t>
  </si>
  <si>
    <r>
      <rPr>
        <b/>
        <u/>
        <sz val="14"/>
        <rFont val="Garamond"/>
        <family val="1"/>
      </rPr>
      <t>Cumulative Unpaid</t>
    </r>
    <r>
      <rPr>
        <sz val="14"/>
        <rFont val="Garamond"/>
        <family val="1"/>
      </rPr>
      <t xml:space="preserve"> Preferred Return</t>
    </r>
  </si>
  <si>
    <t>Residual Cash Flow For Distribution</t>
  </si>
  <si>
    <t>Preferred Return Structure</t>
  </si>
  <si>
    <t>Time 0</t>
  </si>
  <si>
    <t>Total Project Equity *</t>
  </si>
  <si>
    <t>Total Project Net Cash Flow</t>
  </si>
  <si>
    <t>Waterfall #1</t>
  </si>
  <si>
    <t>Waterfall #2</t>
  </si>
  <si>
    <t>Developer Sponsor</t>
  </si>
  <si>
    <t>Developer Partner</t>
  </si>
  <si>
    <t>Investor Profit Share</t>
  </si>
  <si>
    <t>Total (must be 100%)</t>
  </si>
  <si>
    <t>From</t>
  </si>
  <si>
    <t>through</t>
  </si>
  <si>
    <t>Above</t>
  </si>
  <si>
    <t>Tier 4</t>
  </si>
  <si>
    <t>Tier 5</t>
  </si>
  <si>
    <r>
      <t>Waterfall Structure</t>
    </r>
    <r>
      <rPr>
        <b/>
        <sz val="12"/>
        <color indexed="12"/>
        <rFont val="Garamond"/>
        <family val="1"/>
      </rPr>
      <t xml:space="preserve"> (make inputs here)</t>
    </r>
  </si>
  <si>
    <t>Internal Rate of Return Ranges/Hurdle</t>
  </si>
  <si>
    <t>Tier 3 Accrual Distribution</t>
  </si>
  <si>
    <t>Tier 4 Accrual Distribution</t>
  </si>
  <si>
    <t>Sponsor Equity Pro-Rata Share</t>
  </si>
  <si>
    <t>Sponsor Total Profit Share</t>
  </si>
  <si>
    <t>Partner Profit Share</t>
  </si>
  <si>
    <t>Partner Injections</t>
  </si>
  <si>
    <t>Partner Accruals</t>
  </si>
  <si>
    <t>Partner CF</t>
  </si>
  <si>
    <t>Sponsor Equity CF</t>
  </si>
  <si>
    <t>Sponsor Promote CF</t>
  </si>
  <si>
    <t>Total Project Cashflow</t>
  </si>
  <si>
    <t>Partner Cashflow</t>
  </si>
  <si>
    <t>Sponsor Cashflow</t>
  </si>
  <si>
    <t>Sponsor Injections</t>
  </si>
  <si>
    <t>Sponsor Equity Cashflow</t>
  </si>
  <si>
    <t>Sponsor Promote Cashflow</t>
  </si>
  <si>
    <t>Net Cashflow</t>
  </si>
  <si>
    <t>Third Party Investor Net Cashflow</t>
  </si>
  <si>
    <r>
      <t xml:space="preserve">Internal Rate of Return Check:  if the cash flows clear the Hurdle, the IRR Check will be equal to the </t>
    </r>
    <r>
      <rPr>
        <b/>
        <u/>
        <sz val="10"/>
        <rFont val="Garamond"/>
        <family val="1"/>
      </rPr>
      <t>Hurdle</t>
    </r>
    <r>
      <rPr>
        <b/>
        <sz val="10"/>
        <rFont val="Garamond"/>
        <family val="1"/>
      </rPr>
      <t xml:space="preserve">; if the cash flows do not clear the Hurdle, the IRR Check will be equal to the </t>
    </r>
    <r>
      <rPr>
        <b/>
        <u/>
        <sz val="10"/>
        <rFont val="Garamond"/>
        <family val="1"/>
      </rPr>
      <t>Partner</t>
    </r>
    <r>
      <rPr>
        <b/>
        <sz val="10"/>
        <rFont val="Garamond"/>
        <family val="1"/>
      </rPr>
      <t xml:space="preserve"> IRR.</t>
    </r>
  </si>
  <si>
    <t>Hurdle</t>
  </si>
  <si>
    <t>Total Project</t>
  </si>
  <si>
    <t>Top-Level Developer (Sponsor and Partner)</t>
  </si>
  <si>
    <t>Equity Investment incl. Op. Def.</t>
  </si>
  <si>
    <t>Share of Equity Investment</t>
  </si>
  <si>
    <t>Gross Return</t>
  </si>
  <si>
    <t>Net Profit (Return on Equity)</t>
  </si>
  <si>
    <t>Multiple on Equity</t>
  </si>
  <si>
    <t>Internal Rate of Return</t>
  </si>
  <si>
    <t>Time from Equity Investment to Return (months)</t>
  </si>
  <si>
    <t>Tier</t>
  </si>
  <si>
    <t>Third Party Investor Cashflow</t>
  </si>
  <si>
    <t>Third Party Investor Share</t>
  </si>
  <si>
    <t>Total Cashflow</t>
  </si>
  <si>
    <t>IRR Hurdle Ranges</t>
  </si>
  <si>
    <t>Less Equity Investment</t>
  </si>
  <si>
    <t xml:space="preserve">Sponsor Share </t>
  </si>
  <si>
    <t>Partner Share</t>
  </si>
  <si>
    <t>Waterfall #1 Check</t>
  </si>
  <si>
    <t>Waterfall #2 Check</t>
  </si>
  <si>
    <t>Center Tower</t>
  </si>
  <si>
    <t>Cash Flow Priority:</t>
  </si>
  <si>
    <t>3-Tier Waterfall (Preferred Return and 2 Subsequent Tiers) - Annual, Cumulative, Compounded, Look-Back</t>
  </si>
  <si>
    <t>Invested Capital Account Balance</t>
  </si>
  <si>
    <r>
      <rPr>
        <b/>
        <u/>
        <sz val="14"/>
        <rFont val="Garamond"/>
        <family val="1"/>
      </rPr>
      <t>Remaining Unpaid</t>
    </r>
    <r>
      <rPr>
        <sz val="14"/>
        <rFont val="Garamond"/>
        <family val="1"/>
      </rPr>
      <t xml:space="preserve"> Preferred Return, if any</t>
    </r>
  </si>
  <si>
    <t>3. Residual Cash Flow Waterfall (Tiers 2 and 3)</t>
  </si>
  <si>
    <t>"Payment Type A"</t>
  </si>
  <si>
    <t>"Payment Type B"</t>
  </si>
  <si>
    <t>"Payment Type C"</t>
  </si>
  <si>
    <t>Preferred Return Paid to Both Investor and Sponsor</t>
  </si>
  <si>
    <t>Invested Capital Account Balance * Annual Preferred Return rate</t>
  </si>
  <si>
    <t>Sponsor's share of Capital invested * Calculated Preferred Return</t>
  </si>
  <si>
    <t>Investor's share of Capital invested * Calculated Preferred Return</t>
  </si>
  <si>
    <t>Remaining unpaid Preferred Return from last period + this period's Calculated Preferred Return</t>
  </si>
  <si>
    <t>Cumulative Unpaid Preferred Return less Preferred Return Paid</t>
  </si>
  <si>
    <t>If Net Cash flow is greater than Preferred Return paid, then Net Cash Flow - Preferred Return paid, otherwise, 0</t>
  </si>
  <si>
    <t>If Net Cash Flow is greater than the Cumulative Unpaid Preferred Return, then pay all of the Cumulative Unpaid amount, otherwise just pay out the amount available</t>
  </si>
  <si>
    <t>Preferred Return - Non-Compounded, Cumulative, Annual - Exercise Solution</t>
  </si>
  <si>
    <t>"Cumulative" means that any Unpaid Calculated Preferred Returns are carried forward into the subsequent period.</t>
  </si>
  <si>
    <t>NOTE: "Non-Compounded" means that the Preferred Return is only calculated off of the Invested Capital Account Balance as of the beginning of each period.</t>
  </si>
  <si>
    <t>Preferred Return - Compounded Monthly, Cumulative, Monthly - Exercise Solution</t>
  </si>
  <si>
    <t xml:space="preserve"> Capital Invested</t>
  </si>
  <si>
    <t xml:space="preserve"> Interest on Invested Capital</t>
  </si>
  <si>
    <t xml:space="preserve"> Repayment of Invested Capital</t>
  </si>
  <si>
    <t xml:space="preserve"> Invested Capital Balance</t>
  </si>
  <si>
    <t>(Beginning of period Invested Capital balance + Beginning of period Interest Account balance) * Monthly equivalent of Annual Return</t>
  </si>
  <si>
    <t>(Treated as a negative value) If Beginning of period Interest Account balance + Interest earned in the current period are &gt; 0 (meaning if there is Interest earned and yet to be paid out), then take the lesser of the greater of the Investor pro-rata share of the Levered cash flow and 0, and Beginning of period Interest Account balance + Interest earned in the current period; otherwise, return a 0</t>
  </si>
  <si>
    <t>(Treated as a negative value)  If the Beginning of period Capital Account balance + Capital invested in the current period is greater than 0 (meaning if there is Capital invested currently), then take the lesser of the greater of the Investor share of Levered Cash Flow and 0 + plus any Interest paid back in this period, and the Beginning of period Capital Account balance + Capital invested in the current period; otherwise, return a 0</t>
  </si>
  <si>
    <t xml:space="preserve"> Payment of Interest Earned</t>
  </si>
  <si>
    <t>If Levered cash flow is less than or = to 0, return a 0; otherwise, take the sum of Levered Cash flow and all payments/repayments</t>
  </si>
  <si>
    <t>Payment "Type A"</t>
  </si>
  <si>
    <t>Payment "Type B"</t>
  </si>
  <si>
    <t>Payment "Type C"</t>
  </si>
  <si>
    <t>Cash Flows for Payment Types B and C</t>
  </si>
  <si>
    <r>
      <rPr>
        <b/>
        <u/>
        <sz val="14"/>
        <rFont val="Garamond"/>
        <family val="1"/>
      </rPr>
      <t>Calculated</t>
    </r>
    <r>
      <rPr>
        <b/>
        <sz val="14"/>
        <rFont val="Garamond"/>
        <family val="1"/>
      </rPr>
      <t xml:space="preserve"> </t>
    </r>
    <r>
      <rPr>
        <sz val="14"/>
        <rFont val="Garamond"/>
        <family val="1"/>
      </rPr>
      <t>Preferred Return</t>
    </r>
  </si>
  <si>
    <t>Net Levered Cash Flow</t>
  </si>
  <si>
    <t>Joint Venture and Waterfall Modeling Bootcamp
Level 3 Certification Preparation</t>
  </si>
  <si>
    <t>Total Sponsor Profit Share</t>
  </si>
  <si>
    <t>Year 1</t>
  </si>
  <si>
    <t>Year 2</t>
  </si>
  <si>
    <t>1. Payment of Preferred Return to both Investor and Sponsor (Tier 1)</t>
  </si>
  <si>
    <t>2. Return of Capital to both Investor and Sponsor (Tier 1)</t>
  </si>
  <si>
    <t>TIER 1</t>
  </si>
  <si>
    <t>TIER 2</t>
  </si>
  <si>
    <t>TIER 3</t>
  </si>
  <si>
    <t>Sponsor Share</t>
  </si>
  <si>
    <t>Sponsor Cash Flow</t>
  </si>
  <si>
    <t>Sponsor Equity Cash Flow</t>
  </si>
  <si>
    <t>Sponsor Promote Cash Flow</t>
  </si>
  <si>
    <t>Operating Asset Acquisition and Sale</t>
  </si>
  <si>
    <t>Investor Equity Investment ("Investor Injections")</t>
  </si>
  <si>
    <t>Cash Flow Multiple</t>
  </si>
  <si>
    <t>Financial Risk</t>
  </si>
  <si>
    <t>Financial Reward *</t>
  </si>
  <si>
    <t>* Exclusive of any fees</t>
  </si>
  <si>
    <t>Cash Flows</t>
  </si>
  <si>
    <t>Less Sponsor Investment</t>
  </si>
  <si>
    <t>Share</t>
  </si>
  <si>
    <t>Financial Risk/Reward Summary</t>
  </si>
  <si>
    <t>Cash Flows By Tier Summary</t>
  </si>
  <si>
    <t>Graph of Promote Structure: Profit Sharing At Each Tier</t>
  </si>
  <si>
    <t>"Top-Level" Sponsor</t>
  </si>
  <si>
    <t>Partner</t>
  </si>
  <si>
    <t>"Double Promote" Structure for 3 Equity Players</t>
  </si>
  <si>
    <t>Double-Promote Waterfall #1 - Top-Level Sponsor and Third Party Investor</t>
  </si>
  <si>
    <t>Top-Level Sponsor Share</t>
  </si>
  <si>
    <t xml:space="preserve">
Cash Flow Priority:
1. Payment of Preferred Return to both Investor and Sponsor (Tier 1)
2. Return of Capital to both Investor and Sponsor (Tier 1)
3. Residual Cash Flow Waterfall (Tiers 2 - 5)</t>
  </si>
  <si>
    <t>Double-Promote Waterfall #2 - Sponsor and Partner</t>
  </si>
  <si>
    <t xml:space="preserve"> Equity</t>
  </si>
  <si>
    <t xml:space="preserve"> Sponsor Share</t>
  </si>
  <si>
    <t xml:space="preserve"> Partner Share</t>
  </si>
  <si>
    <t>Total  Equity</t>
  </si>
  <si>
    <t>Total  Cash Flow (Gross)</t>
  </si>
  <si>
    <t xml:space="preserve"> Partner Equity  Investment ("Partner Injections")</t>
  </si>
  <si>
    <t>Cash Flow to Sponsor</t>
  </si>
  <si>
    <t xml:space="preserve"> Promote to Sponsor</t>
  </si>
  <si>
    <t>Waterfall #2 Structure - Sponsor and Partner</t>
  </si>
  <si>
    <t>Waterfall #1 Structure - Top-Level Sponsor and Third Party Investor</t>
  </si>
  <si>
    <t>Waterfall #1 Summary - Top-Level Sponsor and Third Party Investor</t>
  </si>
  <si>
    <t>Waterfall #2 Summary - Sponsor and Partner</t>
  </si>
  <si>
    <t>Top-Level Sponsor Cashflow</t>
  </si>
  <si>
    <t xml:space="preserve">Top-Level Sponsor Share </t>
  </si>
  <si>
    <t>JV Returns Summary</t>
  </si>
  <si>
    <t>Total Equity (000s)</t>
  </si>
  <si>
    <t>Total (000s)</t>
  </si>
  <si>
    <t>Cash Flow (000s)</t>
  </si>
  <si>
    <t>Net Cash Flows</t>
  </si>
  <si>
    <t>Preferred Return - Non-Compounded, Cumulative, Annual</t>
  </si>
  <si>
    <t>Preferred Return - Compounded Monthly, Cumulative, Monthly</t>
  </si>
  <si>
    <t>Copyright © 2009 Real Estate Financial Modeling, LLC.</t>
  </si>
  <si>
    <t>Tier 1 Replica Using Daily Compounding</t>
  </si>
  <si>
    <t>Q1</t>
  </si>
  <si>
    <t>Q2</t>
  </si>
  <si>
    <t>Q3</t>
  </si>
  <si>
    <t>Q4</t>
  </si>
  <si>
    <t>Q5</t>
  </si>
  <si>
    <t>Q6</t>
  </si>
  <si>
    <t>Q7</t>
  </si>
  <si>
    <t>Q8</t>
  </si>
  <si>
    <t>Q9</t>
  </si>
  <si>
    <t>Q10</t>
  </si>
  <si>
    <t>Q11</t>
  </si>
  <si>
    <t>Q12</t>
  </si>
  <si>
    <t>Comparison: Monthly vs. Daily</t>
  </si>
  <si>
    <r>
      <t xml:space="preserve">OPTION #1: </t>
    </r>
    <r>
      <rPr>
        <b/>
        <u/>
        <sz val="11"/>
        <color indexed="9"/>
        <rFont val="Garamond"/>
        <family val="1"/>
      </rPr>
      <t>MONTHLY</t>
    </r>
    <r>
      <rPr>
        <b/>
        <sz val="11"/>
        <color indexed="9"/>
        <rFont val="Garamond"/>
        <family val="1"/>
      </rPr>
      <t xml:space="preserve"> COMPOUNDING</t>
    </r>
  </si>
  <si>
    <r>
      <t xml:space="preserve">OPTION #2: </t>
    </r>
    <r>
      <rPr>
        <b/>
        <u/>
        <sz val="11"/>
        <color indexed="9"/>
        <rFont val="Garamond"/>
        <family val="1"/>
      </rPr>
      <t>DAILY</t>
    </r>
    <r>
      <rPr>
        <b/>
        <sz val="11"/>
        <color indexed="9"/>
        <rFont val="Garamond"/>
        <family val="1"/>
      </rPr>
      <t xml:space="preserve"> COMPOUNDING</t>
    </r>
  </si>
  <si>
    <r>
      <t xml:space="preserve">OPTION #3: </t>
    </r>
    <r>
      <rPr>
        <b/>
        <u/>
        <sz val="11"/>
        <color indexed="9"/>
        <rFont val="Garamond"/>
        <family val="1"/>
      </rPr>
      <t>QUARTERLY</t>
    </r>
    <r>
      <rPr>
        <b/>
        <sz val="11"/>
        <color indexed="9"/>
        <rFont val="Garamond"/>
        <family val="1"/>
      </rPr>
      <t xml:space="preserve"> COMPOUNDING</t>
    </r>
  </si>
  <si>
    <t>Double-Promote Waterfall #1 - Top-Level Sponsor and Third Party Investor - ALTERNATE COMPOUNDING PERIODS EXHIBIT</t>
  </si>
  <si>
    <t>CHECK ON IRR</t>
  </si>
  <si>
    <t>Monthly</t>
  </si>
  <si>
    <t>Daily</t>
  </si>
  <si>
    <t>Tier 1 Replica Using Quarterly Compounding</t>
  </si>
  <si>
    <t>Tier 1 As Shown On Tabs 3, 7, 8 and 9</t>
  </si>
  <si>
    <t>Monthly By</t>
  </si>
  <si>
    <r>
      <t xml:space="preserve">Daily Exceeds </t>
    </r>
    <r>
      <rPr>
        <sz val="10"/>
        <color indexed="10"/>
        <rFont val="Garamond"/>
        <family val="1"/>
      </rPr>
      <t>(Falls Short Of)</t>
    </r>
  </si>
  <si>
    <r>
      <t xml:space="preserve">CHECK ON IRR, USING </t>
    </r>
    <r>
      <rPr>
        <b/>
        <u/>
        <sz val="10"/>
        <rFont val="Garamond"/>
        <family val="1"/>
      </rPr>
      <t>XIRR</t>
    </r>
  </si>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</sst>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quot;Year&quot;\ 0"/>
    <numFmt numFmtId="166" formatCode="0.0%"/>
    <numFmt numFmtId="167" formatCode="#,##0.0_);\(#,##0.0\);#,##0.0_);@_)"/>
    <numFmt numFmtId="168" formatCode="&quot;$&quot;_(#,##0.00_);&quot;$&quot;\(#,##0.00\);&quot;$&quot;_(0.00_);@_)"/>
    <numFmt numFmtId="169" formatCode="#,##0_)\x;\(#,##0\)\x;0_)\x;@_)_x"/>
    <numFmt numFmtId="170" formatCode="m\-d\-yy"/>
    <numFmt numFmtId="171" formatCode="_-* #,##0.0_-;\-* #,##0.0_-;_-* &quot;-&quot;??_-;_-@_-"/>
    <numFmt numFmtId="172" formatCode="#,##0.00&quot; $&quot;;\-#,##0.00&quot; $&quot;"/>
    <numFmt numFmtId="173" formatCode="0.00_);[Red]\(0.00\)"/>
    <numFmt numFmtId="174" formatCode="0.00_)"/>
    <numFmt numFmtId="175" formatCode="0.000%"/>
    <numFmt numFmtId="176" formatCode="0.0000%"/>
    <numFmt numFmtId="177" formatCode="&quot;$&quot;#,##0"/>
    <numFmt numFmtId="178" formatCode="&quot;Tier 1:&quot;\ 0%"/>
    <numFmt numFmtId="179" formatCode="&quot;Tier 2:&quot;\ 0%"/>
    <numFmt numFmtId="180" formatCode="&quot;Tier 3:&quot;\ 0%"/>
    <numFmt numFmtId="181" formatCode="&quot;Tier 4:&quot;\ 0%"/>
    <numFmt numFmtId="182" formatCode="&quot;Tier 5: &gt;&quot;\ 0%"/>
    <numFmt numFmtId="183" formatCode="&quot;Tier 3: &gt;&quot;\ 0%"/>
    <numFmt numFmtId="184" formatCode="&quot;Tier 2: &gt;&quot;\ 0%"/>
    <numFmt numFmtId="185" formatCode="_(* #,##0_);_(* \(#,##0\);_(* &quot;-&quot;??_);_(@_)"/>
    <numFmt numFmtId="186" formatCode="&quot;Month&quot;\ 0"/>
    <numFmt numFmtId="187" formatCode="&quot;$&quot;#,##0.0_);[Red]\(&quot;$&quot;#,##0.0\)"/>
    <numFmt numFmtId="188" formatCode="0.00\x"/>
    <numFmt numFmtId="189" formatCode="_([$€-2]* #,##0.00_);_([$€-2]* \(#,##0.00\);_([$€-2]* &quot;-&quot;??_)"/>
    <numFmt numFmtId="190" formatCode="_(#,##0_);_(\-#,##0_)"/>
    <numFmt numFmtId="191" formatCode="_(#,##0.00_);_(\-#,##0.00_)"/>
    <numFmt numFmtId="192" formatCode="_(#,##0.0_);_(\-#,##0.0_)"/>
    <numFmt numFmtId="193" formatCode="mmm\ yy"/>
    <numFmt numFmtId="194" formatCode="_(* #,##0_);_(* \(#,##0\)"/>
    <numFmt numFmtId="195" formatCode="00000"/>
    <numFmt numFmtId="196" formatCode="0.00&quot;x&quot;"/>
    <numFmt numFmtId="197" formatCode="0.00000%"/>
    <numFmt numFmtId="198" formatCode="0.000000%"/>
    <numFmt numFmtId="200" formatCode="&quot;Monthly Rate:&quot;\ 0.0000%"/>
    <numFmt numFmtId="201" formatCode="&quot;Daily Rate:&quot;\ 0.0000%"/>
    <numFmt numFmtId="202" formatCode="&quot;$&quot;#,##0.000000000_);[Red]\(&quot;$&quot;#,##0.000000000\)"/>
    <numFmt numFmtId="203" formatCode="&quot;Quarterly Rate:&quot;\ 0.0000%"/>
    <numFmt numFmtId="204" formatCode="[$-409]d\-mmm\-yy;@"/>
    <numFmt numFmtId="205" formatCode="&quot;Check on Annual Rate:&quot;\ 0.00%"/>
  </numFmts>
  <fonts count="88" x14ac:knownFonts="1">
    <font>
      <sz val="10"/>
      <name val="Verdana"/>
    </font>
    <font>
      <sz val="14"/>
      <name val="Garamond"/>
      <family val="1"/>
    </font>
    <font>
      <sz val="10"/>
      <name val="Arial"/>
      <family val="2"/>
    </font>
    <font>
      <b/>
      <sz val="10"/>
      <name val="Arial"/>
      <family val="2"/>
    </font>
    <font>
      <sz val="10"/>
      <name val="MS Sans Serif"/>
      <family val="2"/>
    </font>
    <font>
      <sz val="10"/>
      <name val="Times New Roman"/>
      <family val="1"/>
    </font>
    <font>
      <sz val="12"/>
      <name val="Helv"/>
    </font>
    <font>
      <sz val="8"/>
      <name val="Arial"/>
      <family val="2"/>
    </font>
    <font>
      <b/>
      <u/>
      <sz val="11"/>
      <color indexed="37"/>
      <name val="Arial"/>
      <family val="2"/>
    </font>
    <font>
      <sz val="12"/>
      <color indexed="9"/>
      <name val="Helv"/>
    </font>
    <font>
      <sz val="10"/>
      <color indexed="12"/>
      <name val="Arial"/>
      <family val="2"/>
    </font>
    <font>
      <sz val="12"/>
      <color indexed="13"/>
      <name val="Helv"/>
    </font>
    <font>
      <b/>
      <sz val="10"/>
      <name val="Times New Roman"/>
      <family val="1"/>
    </font>
    <font>
      <sz val="7"/>
      <name val="Small Fonts"/>
      <family val="2"/>
    </font>
    <font>
      <b/>
      <i/>
      <sz val="16"/>
      <name val="Helv"/>
    </font>
    <font>
      <sz val="10"/>
      <name val="Verdana"/>
      <family val="2"/>
    </font>
    <font>
      <sz val="10"/>
      <name val="Arial Narrow"/>
      <family val="2"/>
    </font>
    <font>
      <sz val="11"/>
      <color indexed="8"/>
      <name val="Calibri"/>
      <family val="2"/>
    </font>
    <font>
      <sz val="12"/>
      <color indexed="17"/>
      <name val="Helv"/>
    </font>
    <font>
      <b/>
      <sz val="11"/>
      <name val="Arial"/>
      <family val="2"/>
    </font>
    <font>
      <sz val="8"/>
      <color indexed="12"/>
      <name val="Arial"/>
      <family val="2"/>
    </font>
    <font>
      <i/>
      <sz val="18"/>
      <name val="Garamond"/>
      <family val="1"/>
    </font>
    <font>
      <u/>
      <sz val="14"/>
      <name val="Garamond"/>
      <family val="1"/>
    </font>
    <font>
      <b/>
      <sz val="14"/>
      <name val="Garamond"/>
      <family val="1"/>
    </font>
    <font>
      <i/>
      <sz val="14"/>
      <name val="Garamond"/>
      <family val="1"/>
    </font>
    <font>
      <b/>
      <sz val="14"/>
      <color indexed="12"/>
      <name val="Garamond"/>
      <family val="1"/>
    </font>
    <font>
      <i/>
      <sz val="16"/>
      <name val="Garamond"/>
      <family val="1"/>
    </font>
    <font>
      <i/>
      <sz val="22"/>
      <name val="Garamond"/>
      <family val="1"/>
    </font>
    <font>
      <b/>
      <sz val="12"/>
      <name val="Garamond"/>
      <family val="1"/>
    </font>
    <font>
      <sz val="16"/>
      <name val="Garamond"/>
      <family val="1"/>
    </font>
    <font>
      <sz val="8"/>
      <name val="Garamond"/>
      <family val="1"/>
    </font>
    <font>
      <sz val="6"/>
      <name val="Garamond"/>
      <family val="1"/>
    </font>
    <font>
      <b/>
      <u/>
      <sz val="14"/>
      <name val="Garamond"/>
      <family val="1"/>
    </font>
    <font>
      <sz val="11"/>
      <color indexed="81"/>
      <name val="Tahoma"/>
      <family val="2"/>
    </font>
    <font>
      <b/>
      <u/>
      <sz val="14"/>
      <color indexed="12"/>
      <name val="Garamond"/>
      <family val="1"/>
    </font>
    <font>
      <b/>
      <sz val="10"/>
      <name val="Garamond"/>
      <family val="1"/>
    </font>
    <font>
      <sz val="10"/>
      <name val="Garamond"/>
      <family val="1"/>
    </font>
    <font>
      <sz val="8"/>
      <color indexed="81"/>
      <name val="Tahoma"/>
      <family val="2"/>
    </font>
    <font>
      <b/>
      <sz val="11"/>
      <color indexed="81"/>
      <name val="Tahoma"/>
      <family val="2"/>
    </font>
    <font>
      <b/>
      <sz val="8"/>
      <color indexed="81"/>
      <name val="Tahoma"/>
      <family val="2"/>
    </font>
    <font>
      <b/>
      <u/>
      <sz val="10"/>
      <name val="Garamond"/>
      <family val="1"/>
    </font>
    <font>
      <sz val="10"/>
      <color indexed="12"/>
      <name val="Garamond"/>
      <family val="1"/>
    </font>
    <font>
      <b/>
      <sz val="10"/>
      <color indexed="8"/>
      <name val="Garamond"/>
      <family val="1"/>
    </font>
    <font>
      <b/>
      <sz val="10"/>
      <color indexed="12"/>
      <name val="Garamond"/>
      <family val="1"/>
    </font>
    <font>
      <i/>
      <sz val="13"/>
      <name val="Garamond"/>
      <family val="1"/>
    </font>
    <font>
      <b/>
      <sz val="11"/>
      <color indexed="8"/>
      <name val="Garamond"/>
      <family val="1"/>
    </font>
    <font>
      <b/>
      <u val="singleAccounting"/>
      <sz val="10"/>
      <name val="Garamond"/>
      <family val="1"/>
    </font>
    <font>
      <u val="singleAccounting"/>
      <sz val="10"/>
      <name val="Garamond"/>
      <family val="1"/>
    </font>
    <font>
      <b/>
      <sz val="10"/>
      <color indexed="10"/>
      <name val="Garamond"/>
      <family val="1"/>
    </font>
    <font>
      <sz val="10"/>
      <color indexed="10"/>
      <name val="Garamond"/>
      <family val="1"/>
    </font>
    <font>
      <i/>
      <sz val="10"/>
      <name val="Garamond"/>
      <family val="1"/>
    </font>
    <font>
      <sz val="10"/>
      <name val="Arial"/>
      <family val="2"/>
    </font>
    <font>
      <b/>
      <sz val="12"/>
      <color indexed="81"/>
      <name val="Tahoma"/>
      <family val="2"/>
    </font>
    <font>
      <sz val="12"/>
      <color indexed="81"/>
      <name val="Tahoma"/>
      <family val="2"/>
    </font>
    <font>
      <u/>
      <sz val="18"/>
      <name val="Garamond"/>
      <family val="1"/>
    </font>
    <font>
      <i/>
      <u/>
      <sz val="14"/>
      <name val="Garamond"/>
      <family val="1"/>
    </font>
    <font>
      <b/>
      <sz val="12"/>
      <color indexed="12"/>
      <name val="Garamond"/>
      <family val="1"/>
    </font>
    <font>
      <u/>
      <sz val="10"/>
      <name val="Garamond"/>
      <family val="1"/>
    </font>
    <font>
      <u/>
      <sz val="10"/>
      <color indexed="36"/>
      <name val="Arial"/>
      <family val="2"/>
    </font>
    <font>
      <u/>
      <sz val="10"/>
      <color indexed="39"/>
      <name val="Arial"/>
      <family val="2"/>
    </font>
    <font>
      <b/>
      <sz val="11"/>
      <color indexed="9"/>
      <name val="Arial"/>
      <family val="2"/>
    </font>
    <font>
      <sz val="10"/>
      <color indexed="9"/>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b/>
      <sz val="11"/>
      <color indexed="9"/>
      <name val="Garamond"/>
      <family val="1"/>
    </font>
    <font>
      <b/>
      <u/>
      <sz val="11"/>
      <color indexed="9"/>
      <name val="Garamond"/>
      <family val="1"/>
    </font>
    <font>
      <sz val="10"/>
      <color indexed="10"/>
      <name val="Garamond"/>
      <family val="1"/>
    </font>
    <font>
      <sz val="14"/>
      <color theme="1"/>
      <name val="Garamond"/>
      <family val="2"/>
    </font>
    <font>
      <u/>
      <sz val="10"/>
      <color theme="10"/>
      <name val="Arial"/>
      <family val="2"/>
    </font>
    <font>
      <sz val="11"/>
      <color theme="1"/>
      <name val="Calibri"/>
      <family val="2"/>
      <scheme val="minor"/>
    </font>
    <font>
      <b/>
      <sz val="14"/>
      <color rgb="FF0000FF"/>
      <name val="Garamond"/>
      <family val="1"/>
    </font>
    <font>
      <i/>
      <sz val="18"/>
      <color theme="1"/>
      <name val="Garamond"/>
      <family val="1"/>
    </font>
    <font>
      <b/>
      <sz val="14"/>
      <color theme="1"/>
      <name val="Garamond"/>
      <family val="1"/>
    </font>
    <font>
      <b/>
      <sz val="10"/>
      <color rgb="FF0000FF"/>
      <name val="Garamond"/>
      <family val="1"/>
    </font>
    <font>
      <b/>
      <sz val="11"/>
      <color rgb="FF0000FF"/>
      <name val="Garamond"/>
      <family val="1"/>
    </font>
    <font>
      <b/>
      <sz val="14"/>
      <color theme="0"/>
      <name val="Garamond"/>
      <family val="1"/>
    </font>
    <font>
      <b/>
      <sz val="10"/>
      <color theme="0"/>
      <name val="Garamond"/>
      <family val="1"/>
    </font>
    <font>
      <sz val="14"/>
      <name val="Calibri"/>
      <family val="2"/>
      <scheme val="minor"/>
    </font>
    <font>
      <b/>
      <sz val="12"/>
      <name val="Calibri"/>
      <family val="2"/>
      <scheme val="minor"/>
    </font>
    <font>
      <i/>
      <sz val="14"/>
      <name val="Calibri"/>
      <family val="2"/>
      <scheme val="minor"/>
    </font>
    <font>
      <i/>
      <sz val="14"/>
      <color indexed="57"/>
      <name val="Calibri"/>
      <family val="2"/>
      <scheme val="minor"/>
    </font>
    <font>
      <i/>
      <sz val="14"/>
      <color indexed="17"/>
      <name val="Calibri"/>
      <family val="2"/>
      <scheme val="minor"/>
    </font>
    <font>
      <sz val="10"/>
      <color theme="0"/>
      <name val="Garamond"/>
      <family val="1"/>
    </font>
    <font>
      <b/>
      <sz val="11"/>
      <color theme="0"/>
      <name val="Garamond"/>
      <family val="1"/>
    </font>
    <font>
      <i/>
      <u/>
      <sz val="14"/>
      <name val="Calibri"/>
      <family val="2"/>
      <scheme val="minor"/>
    </font>
    <font>
      <b/>
      <sz val="11"/>
      <color theme="1"/>
      <name val="Garamond"/>
      <family val="1"/>
    </font>
  </fonts>
  <fills count="1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55"/>
        <bgColor indexed="64"/>
      </patternFill>
    </fill>
    <fill>
      <patternFill patternType="solid">
        <fgColor indexed="56"/>
        <bgColor indexed="64"/>
      </patternFill>
    </fill>
    <fill>
      <patternFill patternType="solid">
        <fgColor indexed="31"/>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1"/>
        <bgColor indexed="64"/>
      </patternFill>
    </fill>
  </fills>
  <borders count="39">
    <border>
      <left/>
      <right/>
      <top/>
      <bottom/>
      <diagonal/>
    </border>
    <border>
      <left style="double">
        <color indexed="64"/>
      </left>
      <right/>
      <top/>
      <bottom style="hair">
        <color indexed="64"/>
      </bottom>
      <diagonal/>
    </border>
    <border>
      <left style="double">
        <color indexed="10"/>
      </left>
      <right style="double">
        <color indexed="10"/>
      </right>
      <top style="double">
        <color indexed="10"/>
      </top>
      <bottom style="double">
        <color indexed="1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right/>
      <top style="thin">
        <color indexed="22"/>
      </top>
      <bottom/>
      <diagonal/>
    </border>
    <border>
      <left/>
      <right style="thin">
        <color indexed="22"/>
      </right>
      <top/>
      <bottom style="thin">
        <color indexed="22"/>
      </bottom>
      <diagonal/>
    </border>
    <border>
      <left/>
      <right/>
      <top style="thin">
        <color indexed="64"/>
      </top>
      <bottom/>
      <diagonal/>
    </border>
    <border>
      <left/>
      <right/>
      <top style="thin">
        <color indexed="64"/>
      </top>
      <bottom style="thick">
        <color indexed="64"/>
      </bottom>
      <diagonal/>
    </border>
    <border>
      <left/>
      <right/>
      <top style="thick">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56">
    <xf numFmtId="0" fontId="0" fillId="0" borderId="0"/>
    <xf numFmtId="167"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3" fillId="2" borderId="1">
      <alignment horizontal="center"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6"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8" fontId="5" fillId="0" borderId="0" applyFont="0" applyFill="0" applyBorder="0" applyAlignment="0" applyProtection="0"/>
    <xf numFmtId="44" fontId="17" fillId="0" borderId="0" applyFont="0" applyFill="0" applyBorder="0" applyAlignment="0" applyProtection="0"/>
    <xf numFmtId="15" fontId="6" fillId="0" borderId="2" applyFont="0" applyFill="0" applyBorder="0" applyProtection="0">
      <alignment horizontal="center"/>
      <protection locked="0"/>
    </xf>
    <xf numFmtId="189" fontId="2" fillId="0" borderId="0" applyFont="0" applyFill="0" applyBorder="0" applyAlignment="0" applyProtection="0"/>
    <xf numFmtId="0" fontId="2" fillId="0" borderId="0"/>
    <xf numFmtId="43" fontId="2" fillId="0" borderId="0" applyBorder="0"/>
    <xf numFmtId="41" fontId="2" fillId="0" borderId="0" applyBorder="0"/>
    <xf numFmtId="44" fontId="2" fillId="0" borderId="0" applyBorder="0"/>
    <xf numFmtId="42" fontId="2" fillId="0" borderId="0" applyBorder="0"/>
    <xf numFmtId="0" fontId="58" fillId="0" borderId="0" applyNumberFormat="0" applyBorder="0"/>
    <xf numFmtId="0" fontId="59" fillId="0" borderId="0" applyNumberFormat="0" applyBorder="0"/>
    <xf numFmtId="9" fontId="2" fillId="0" borderId="0" applyBorder="0"/>
    <xf numFmtId="0" fontId="58" fillId="0" borderId="0" applyNumberFormat="0" applyBorder="0"/>
    <xf numFmtId="0" fontId="59" fillId="0" borderId="0" applyNumberFormat="0" applyBorder="0"/>
    <xf numFmtId="9" fontId="2" fillId="0" borderId="0" applyBorder="0"/>
    <xf numFmtId="171" fontId="2" fillId="0" borderId="0">
      <protection locked="0"/>
    </xf>
    <xf numFmtId="38" fontId="6" fillId="0" borderId="0" applyFill="0" applyBorder="0" applyAlignment="0" applyProtection="0"/>
    <xf numFmtId="38" fontId="7" fillId="3" borderId="0" applyNumberFormat="0" applyBorder="0" applyAlignment="0" applyProtection="0"/>
    <xf numFmtId="0" fontId="8" fillId="0" borderId="0" applyNumberFormat="0" applyFill="0" applyBorder="0" applyAlignment="0" applyProtection="0"/>
    <xf numFmtId="172" fontId="2" fillId="0" borderId="0">
      <protection locked="0"/>
    </xf>
    <xf numFmtId="172" fontId="2" fillId="0" borderId="0">
      <protection locked="0"/>
    </xf>
    <xf numFmtId="173" fontId="9" fillId="0" borderId="0" applyFill="0" applyBorder="0" applyAlignment="0" applyProtection="0">
      <alignment horizontal="right"/>
    </xf>
    <xf numFmtId="0" fontId="10" fillId="0" borderId="3" applyNumberFormat="0" applyFill="0" applyAlignment="0" applyProtection="0"/>
    <xf numFmtId="0" fontId="70" fillId="0" borderId="0" applyNumberFormat="0" applyFill="0" applyBorder="0" applyAlignment="0" applyProtection="0">
      <alignment vertical="top"/>
      <protection locked="0"/>
    </xf>
    <xf numFmtId="10" fontId="7" fillId="4" borderId="4" applyNumberFormat="0" applyBorder="0" applyAlignment="0" applyProtection="0"/>
    <xf numFmtId="37" fontId="11" fillId="0" borderId="2" applyNumberFormat="0" applyFont="0" applyFill="0" applyAlignment="0" applyProtection="0">
      <alignment horizontal="center" vertical="center"/>
    </xf>
    <xf numFmtId="38" fontId="5" fillId="0" borderId="0"/>
    <xf numFmtId="38" fontId="12" fillId="1" borderId="5"/>
    <xf numFmtId="37" fontId="13" fillId="0" borderId="0"/>
    <xf numFmtId="0" fontId="2" fillId="0" borderId="0"/>
    <xf numFmtId="174" fontId="14" fillId="0" borderId="0"/>
    <xf numFmtId="0" fontId="2" fillId="0" borderId="0"/>
    <xf numFmtId="0" fontId="2" fillId="0" borderId="0"/>
    <xf numFmtId="0" fontId="2" fillId="0" borderId="0"/>
    <xf numFmtId="0" fontId="69" fillId="0" borderId="0"/>
    <xf numFmtId="0" fontId="5" fillId="0" borderId="0">
      <alignment vertical="center"/>
    </xf>
    <xf numFmtId="0" fontId="51" fillId="0" borderId="0"/>
    <xf numFmtId="0" fontId="69" fillId="0" borderId="0"/>
    <xf numFmtId="0" fontId="2" fillId="0" borderId="0"/>
    <xf numFmtId="0" fontId="15" fillId="0" borderId="0"/>
    <xf numFmtId="0" fontId="2" fillId="0" borderId="0"/>
    <xf numFmtId="0" fontId="16" fillId="0" borderId="0"/>
    <xf numFmtId="0" fontId="17" fillId="0" borderId="0"/>
    <xf numFmtId="0" fontId="17" fillId="0" borderId="0"/>
    <xf numFmtId="0" fontId="2"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71" fillId="0" borderId="0"/>
    <xf numFmtId="0" fontId="5" fillId="0" borderId="0">
      <alignment vertical="center"/>
    </xf>
    <xf numFmtId="0" fontId="2" fillId="0" borderId="0"/>
    <xf numFmtId="0" fontId="2" fillId="0" borderId="0"/>
    <xf numFmtId="0" fontId="2" fillId="0" borderId="0"/>
    <xf numFmtId="0" fontId="2" fillId="0" borderId="0"/>
    <xf numFmtId="37" fontId="18" fillId="0" borderId="0" applyFill="0" applyBorder="0" applyAlignment="0" applyProtection="0"/>
    <xf numFmtId="9" fontId="69" fillId="0" borderId="0" applyFont="0" applyFill="0" applyBorder="0" applyAlignment="0" applyProtection="0"/>
    <xf numFmtId="10" fontId="2" fillId="0" borderId="0" applyFont="0" applyFill="0" applyBorder="0" applyAlignment="0" applyProtection="0"/>
    <xf numFmtId="9" fontId="6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1" fillId="0" borderId="0" applyFont="0" applyFill="0" applyBorder="0" applyAlignment="0" applyProtection="0"/>
    <xf numFmtId="0" fontId="2" fillId="5" borderId="7" applyNumberFormat="0"/>
    <xf numFmtId="0" fontId="2" fillId="5" borderId="8" applyNumberFormat="0"/>
    <xf numFmtId="0" fontId="2" fillId="5" borderId="9" applyNumberFormat="0"/>
    <xf numFmtId="0" fontId="2" fillId="5" borderId="10" applyNumberFormat="0"/>
    <xf numFmtId="0" fontId="2" fillId="5" borderId="11" applyNumberFormat="0"/>
    <xf numFmtId="0" fontId="2" fillId="5" borderId="12" applyNumberFormat="0"/>
    <xf numFmtId="0" fontId="2" fillId="5" borderId="13" applyNumberFormat="0"/>
    <xf numFmtId="0" fontId="2" fillId="0" borderId="0" applyNumberFormat="0" applyBorder="0"/>
    <xf numFmtId="0" fontId="60" fillId="6" borderId="6" applyNumberFormat="0"/>
    <xf numFmtId="0" fontId="3" fillId="0" borderId="8" applyNumberFormat="0">
      <alignment horizontal="right"/>
    </xf>
    <xf numFmtId="0" fontId="3" fillId="0" borderId="9" applyNumberFormat="0">
      <alignment horizontal="right"/>
    </xf>
    <xf numFmtId="0" fontId="3" fillId="0" borderId="14" applyNumberFormat="0">
      <alignment horizontal="right"/>
    </xf>
    <xf numFmtId="190" fontId="2" fillId="0" borderId="7"/>
    <xf numFmtId="190" fontId="2" fillId="0" borderId="0" applyBorder="0"/>
    <xf numFmtId="190" fontId="2" fillId="0" borderId="13"/>
    <xf numFmtId="190" fontId="2" fillId="6" borderId="7"/>
    <xf numFmtId="190" fontId="2" fillId="6" borderId="0" applyBorder="0"/>
    <xf numFmtId="190" fontId="2" fillId="6" borderId="13"/>
    <xf numFmtId="191" fontId="2" fillId="0" borderId="13"/>
    <xf numFmtId="191" fontId="2" fillId="0" borderId="0" applyBorder="0"/>
    <xf numFmtId="191" fontId="2" fillId="6" borderId="0" applyBorder="0"/>
    <xf numFmtId="191" fontId="2" fillId="6" borderId="13"/>
    <xf numFmtId="191" fontId="2" fillId="6" borderId="7"/>
    <xf numFmtId="191" fontId="2" fillId="0" borderId="7"/>
    <xf numFmtId="192" fontId="2" fillId="0" borderId="13"/>
    <xf numFmtId="192" fontId="2" fillId="0" borderId="0" applyBorder="0"/>
    <xf numFmtId="192" fontId="2" fillId="6" borderId="0" applyBorder="0"/>
    <xf numFmtId="192" fontId="2" fillId="6" borderId="13"/>
    <xf numFmtId="192" fontId="2" fillId="6" borderId="7"/>
    <xf numFmtId="192" fontId="2" fillId="0" borderId="7"/>
    <xf numFmtId="0" fontId="3" fillId="0" borderId="7" applyNumberFormat="0">
      <alignment horizontal="right"/>
    </xf>
    <xf numFmtId="0" fontId="3" fillId="6" borderId="7" applyNumberFormat="0">
      <alignment horizontal="right"/>
    </xf>
    <xf numFmtId="190" fontId="2" fillId="0" borderId="8"/>
    <xf numFmtId="190" fontId="2" fillId="0" borderId="9"/>
    <xf numFmtId="190" fontId="2" fillId="0" borderId="14"/>
    <xf numFmtId="191" fontId="2" fillId="0" borderId="8"/>
    <xf numFmtId="191" fontId="2" fillId="0" borderId="9"/>
    <xf numFmtId="191" fontId="2" fillId="0" borderId="14"/>
    <xf numFmtId="192" fontId="2" fillId="0" borderId="8"/>
    <xf numFmtId="192" fontId="2" fillId="0" borderId="9"/>
    <xf numFmtId="192" fontId="2" fillId="0" borderId="14"/>
    <xf numFmtId="0" fontId="2" fillId="0" borderId="0" applyNumberFormat="0" applyBorder="0"/>
    <xf numFmtId="0" fontId="60" fillId="6" borderId="6" applyNumberFormat="0"/>
    <xf numFmtId="0" fontId="3" fillId="0" borderId="8" applyNumberFormat="0">
      <alignment horizontal="right"/>
    </xf>
    <xf numFmtId="0" fontId="3" fillId="0" borderId="9" applyNumberFormat="0">
      <alignment horizontal="right"/>
    </xf>
    <xf numFmtId="0" fontId="3" fillId="0" borderId="14" applyNumberFormat="0">
      <alignment horizontal="right"/>
    </xf>
    <xf numFmtId="192" fontId="2" fillId="0" borderId="13"/>
    <xf numFmtId="192" fontId="2" fillId="0" borderId="0" applyBorder="0"/>
    <xf numFmtId="192" fontId="2" fillId="6" borderId="0" applyBorder="0"/>
    <xf numFmtId="192" fontId="2" fillId="6" borderId="13"/>
    <xf numFmtId="192" fontId="2" fillId="6" borderId="7"/>
    <xf numFmtId="192" fontId="2" fillId="0" borderId="7"/>
    <xf numFmtId="0" fontId="3" fillId="0" borderId="7" applyNumberFormat="0">
      <alignment horizontal="right"/>
    </xf>
    <xf numFmtId="0" fontId="3" fillId="6" borderId="7" applyNumberFormat="0">
      <alignment horizontal="right"/>
    </xf>
    <xf numFmtId="192" fontId="2" fillId="0" borderId="8"/>
    <xf numFmtId="192" fontId="2" fillId="0" borderId="9"/>
    <xf numFmtId="192" fontId="2" fillId="0" borderId="14"/>
    <xf numFmtId="0" fontId="2" fillId="0" borderId="0" applyNumberFormat="0" applyBorder="0"/>
    <xf numFmtId="0" fontId="60" fillId="6" borderId="8" applyNumberFormat="0">
      <alignment horizontal="right"/>
    </xf>
    <xf numFmtId="0" fontId="60" fillId="6" borderId="9" applyNumberFormat="0">
      <alignment horizontal="right"/>
    </xf>
    <xf numFmtId="0" fontId="60" fillId="6" borderId="14" applyNumberFormat="0">
      <alignment horizontal="right"/>
    </xf>
    <xf numFmtId="0" fontId="60" fillId="6" borderId="6" applyNumberFormat="0"/>
    <xf numFmtId="192" fontId="2" fillId="0" borderId="13"/>
    <xf numFmtId="192" fontId="2" fillId="0" borderId="0" applyBorder="0"/>
    <xf numFmtId="192" fontId="2" fillId="6" borderId="0" applyBorder="0"/>
    <xf numFmtId="192" fontId="2" fillId="6" borderId="13"/>
    <xf numFmtId="192" fontId="2" fillId="6" borderId="7"/>
    <xf numFmtId="192" fontId="2" fillId="0" borderId="7"/>
    <xf numFmtId="0" fontId="3" fillId="0" borderId="7" applyNumberFormat="0">
      <alignment horizontal="right"/>
    </xf>
    <xf numFmtId="0" fontId="3" fillId="6" borderId="7" applyNumberFormat="0">
      <alignment horizontal="right"/>
    </xf>
    <xf numFmtId="0" fontId="2" fillId="0" borderId="15" applyNumberFormat="0"/>
    <xf numFmtId="190" fontId="2" fillId="0" borderId="0" applyBorder="0"/>
    <xf numFmtId="190" fontId="2" fillId="0" borderId="13"/>
    <xf numFmtId="190" fontId="2" fillId="6" borderId="7"/>
    <xf numFmtId="190" fontId="2" fillId="6" borderId="0" applyBorder="0"/>
    <xf numFmtId="190" fontId="2" fillId="6" borderId="13"/>
    <xf numFmtId="191" fontId="2" fillId="0" borderId="13"/>
    <xf numFmtId="191" fontId="2" fillId="0" borderId="0" applyBorder="0"/>
    <xf numFmtId="191" fontId="2" fillId="6" borderId="0" applyBorder="0"/>
    <xf numFmtId="191" fontId="2" fillId="6" borderId="13"/>
    <xf numFmtId="191" fontId="2" fillId="6" borderId="7"/>
    <xf numFmtId="0" fontId="2" fillId="5" borderId="7" applyNumberFormat="0">
      <alignment horizontal="left"/>
    </xf>
    <xf numFmtId="0" fontId="2" fillId="6" borderId="7" applyNumberFormat="0">
      <alignment horizontal="left"/>
    </xf>
    <xf numFmtId="0" fontId="2" fillId="5" borderId="7" applyNumberFormat="0">
      <alignment horizontal="right"/>
    </xf>
    <xf numFmtId="0" fontId="2" fillId="6" borderId="7" applyNumberFormat="0">
      <alignment horizontal="right"/>
    </xf>
    <xf numFmtId="0" fontId="2" fillId="5" borderId="7" applyNumberFormat="0">
      <alignment horizontal="center"/>
    </xf>
    <xf numFmtId="0" fontId="2" fillId="6" borderId="7" applyNumberFormat="0">
      <alignment horizontal="center"/>
    </xf>
    <xf numFmtId="0" fontId="2" fillId="7" borderId="0" applyNumberFormat="0" applyBorder="0"/>
    <xf numFmtId="0" fontId="2" fillId="0" borderId="15" applyNumberFormat="0"/>
    <xf numFmtId="0" fontId="2" fillId="0" borderId="7" applyNumberFormat="0"/>
    <xf numFmtId="190" fontId="2" fillId="0" borderId="8"/>
    <xf numFmtId="190" fontId="2" fillId="0" borderId="9"/>
    <xf numFmtId="190" fontId="2" fillId="0" borderId="14"/>
    <xf numFmtId="191" fontId="2" fillId="0" borderId="8"/>
    <xf numFmtId="191" fontId="2" fillId="0" borderId="9"/>
    <xf numFmtId="191" fontId="2" fillId="0" borderId="14"/>
    <xf numFmtId="0" fontId="2" fillId="0" borderId="0" applyNumberFormat="0" applyBorder="0"/>
    <xf numFmtId="0" fontId="2" fillId="0" borderId="4" applyNumberFormat="0">
      <alignment horizontal="center"/>
    </xf>
    <xf numFmtId="0" fontId="60" fillId="6" borderId="6" applyNumberFormat="0"/>
    <xf numFmtId="0" fontId="3" fillId="0" borderId="8" applyNumberFormat="0">
      <alignment horizontal="right"/>
    </xf>
    <xf numFmtId="0" fontId="2" fillId="0" borderId="10" applyNumberFormat="0"/>
    <xf numFmtId="0" fontId="2" fillId="0" borderId="12" applyNumberFormat="0"/>
    <xf numFmtId="0" fontId="2" fillId="0" borderId="7" applyNumberFormat="0"/>
    <xf numFmtId="0" fontId="2" fillId="0" borderId="13" applyNumberFormat="0"/>
    <xf numFmtId="0" fontId="2" fillId="0" borderId="11" applyNumberFormat="0"/>
    <xf numFmtId="0" fontId="2" fillId="0" borderId="16" applyNumberFormat="0"/>
    <xf numFmtId="191" fontId="2" fillId="0" borderId="13"/>
    <xf numFmtId="191" fontId="2" fillId="0" borderId="0" applyBorder="0"/>
    <xf numFmtId="191" fontId="2" fillId="6" borderId="0" applyBorder="0"/>
    <xf numFmtId="191" fontId="2" fillId="6" borderId="13"/>
    <xf numFmtId="192" fontId="2" fillId="0" borderId="13"/>
    <xf numFmtId="192" fontId="2" fillId="0" borderId="0" applyBorder="0"/>
    <xf numFmtId="192" fontId="2" fillId="6" borderId="0" applyBorder="0"/>
    <xf numFmtId="192" fontId="2" fillId="6" borderId="13"/>
    <xf numFmtId="0" fontId="3" fillId="0" borderId="7" applyNumberFormat="0">
      <alignment horizontal="right"/>
    </xf>
    <xf numFmtId="0" fontId="3" fillId="6" borderId="7" applyNumberFormat="0">
      <alignment horizontal="right"/>
    </xf>
    <xf numFmtId="0" fontId="2" fillId="0" borderId="15" applyNumberFormat="0"/>
    <xf numFmtId="0" fontId="2" fillId="7" borderId="0" applyNumberFormat="0" applyBorder="0"/>
    <xf numFmtId="0" fontId="2" fillId="0" borderId="0" applyNumberFormat="0" applyBorder="0"/>
    <xf numFmtId="0" fontId="60" fillId="6" borderId="6" applyNumberFormat="0"/>
    <xf numFmtId="0" fontId="3" fillId="0" borderId="8" applyNumberFormat="0">
      <alignment horizontal="right"/>
    </xf>
    <xf numFmtId="0" fontId="3" fillId="0" borderId="9" applyNumberFormat="0">
      <alignment horizontal="right"/>
    </xf>
    <xf numFmtId="0" fontId="3" fillId="0" borderId="14" applyNumberFormat="0">
      <alignment horizontal="right"/>
    </xf>
    <xf numFmtId="192" fontId="2" fillId="0" borderId="13"/>
    <xf numFmtId="192" fontId="2" fillId="0" borderId="0" applyBorder="0"/>
    <xf numFmtId="192" fontId="2" fillId="6" borderId="0" applyBorder="0"/>
    <xf numFmtId="192" fontId="2" fillId="6" borderId="13"/>
    <xf numFmtId="192" fontId="2" fillId="6" borderId="7"/>
    <xf numFmtId="192" fontId="2" fillId="0" borderId="7"/>
    <xf numFmtId="0" fontId="3" fillId="0" borderId="7" applyNumberFormat="0">
      <alignment horizontal="right"/>
    </xf>
    <xf numFmtId="0" fontId="3" fillId="6" borderId="7" applyNumberFormat="0">
      <alignment horizontal="right"/>
    </xf>
    <xf numFmtId="192" fontId="2" fillId="0" borderId="8"/>
    <xf numFmtId="192" fontId="2" fillId="0" borderId="9"/>
    <xf numFmtId="192" fontId="2" fillId="0" borderId="14"/>
    <xf numFmtId="193" fontId="3" fillId="0" borderId="7">
      <alignment horizontal="right"/>
    </xf>
    <xf numFmtId="193" fontId="3" fillId="6" borderId="7">
      <alignment horizontal="right"/>
    </xf>
    <xf numFmtId="191" fontId="2" fillId="0" borderId="7"/>
    <xf numFmtId="191" fontId="2" fillId="6" borderId="7"/>
    <xf numFmtId="192" fontId="2" fillId="0" borderId="13"/>
    <xf numFmtId="192" fontId="2" fillId="6" borderId="13"/>
    <xf numFmtId="194" fontId="2" fillId="0" borderId="7"/>
    <xf numFmtId="190" fontId="2" fillId="6" borderId="7"/>
    <xf numFmtId="194" fontId="2" fillId="0" borderId="13"/>
    <xf numFmtId="194" fontId="2" fillId="6" borderId="13"/>
    <xf numFmtId="0" fontId="2" fillId="0" borderId="15" applyNumberFormat="0"/>
    <xf numFmtId="192" fontId="2" fillId="0" borderId="7"/>
    <xf numFmtId="192" fontId="2" fillId="6" borderId="7"/>
    <xf numFmtId="0" fontId="2" fillId="0" borderId="0" applyNumberFormat="0" applyBorder="0"/>
    <xf numFmtId="0" fontId="60" fillId="6" borderId="8" applyNumberFormat="0">
      <alignment horizontal="right"/>
    </xf>
    <xf numFmtId="0" fontId="60" fillId="6" borderId="9" applyNumberFormat="0">
      <alignment horizontal="right"/>
    </xf>
    <xf numFmtId="0" fontId="3" fillId="0" borderId="7" applyNumberFormat="0">
      <alignment horizontal="right"/>
    </xf>
    <xf numFmtId="0" fontId="3" fillId="6" borderId="7" applyNumberFormat="0">
      <alignment horizontal="right"/>
    </xf>
    <xf numFmtId="191" fontId="2" fillId="0" borderId="7"/>
    <xf numFmtId="191" fontId="2" fillId="6" borderId="7"/>
    <xf numFmtId="192" fontId="2" fillId="0" borderId="13"/>
    <xf numFmtId="192" fontId="2" fillId="6" borderId="13"/>
    <xf numFmtId="194" fontId="2" fillId="0" borderId="7"/>
    <xf numFmtId="190" fontId="2" fillId="6" borderId="7"/>
    <xf numFmtId="194" fontId="2" fillId="0" borderId="13"/>
    <xf numFmtId="194" fontId="2" fillId="6" borderId="13"/>
    <xf numFmtId="0" fontId="2" fillId="0" borderId="15" applyNumberFormat="0"/>
    <xf numFmtId="192" fontId="2" fillId="0" borderId="7"/>
    <xf numFmtId="192" fontId="2" fillId="6" borderId="7"/>
    <xf numFmtId="192" fontId="61" fillId="7" borderId="7"/>
    <xf numFmtId="192" fontId="61" fillId="7" borderId="13"/>
    <xf numFmtId="191" fontId="61" fillId="7" borderId="7"/>
    <xf numFmtId="190" fontId="61" fillId="7" borderId="7"/>
    <xf numFmtId="190" fontId="61" fillId="7" borderId="13"/>
    <xf numFmtId="0" fontId="61" fillId="7" borderId="7" applyNumberFormat="0">
      <alignment horizontal="right"/>
    </xf>
    <xf numFmtId="0" fontId="2" fillId="0" borderId="0" applyNumberFormat="0" applyBorder="0"/>
    <xf numFmtId="0" fontId="2" fillId="0" borderId="4" applyNumberFormat="0">
      <alignment horizontal="center"/>
    </xf>
    <xf numFmtId="0" fontId="60" fillId="6" borderId="6" applyNumberFormat="0"/>
    <xf numFmtId="0" fontId="3" fillId="0" borderId="8" applyNumberFormat="0">
      <alignment horizontal="right"/>
    </xf>
    <xf numFmtId="0" fontId="3" fillId="0" borderId="9" applyNumberFormat="0">
      <alignment horizontal="right"/>
    </xf>
    <xf numFmtId="0" fontId="3" fillId="0" borderId="14" applyNumberFormat="0">
      <alignment horizontal="right"/>
    </xf>
    <xf numFmtId="190" fontId="2" fillId="0" borderId="0" applyBorder="0"/>
    <xf numFmtId="190" fontId="2" fillId="0" borderId="13"/>
    <xf numFmtId="190" fontId="2" fillId="6" borderId="0" applyBorder="0"/>
    <xf numFmtId="190" fontId="2" fillId="6" borderId="13"/>
    <xf numFmtId="191" fontId="2" fillId="0" borderId="13"/>
    <xf numFmtId="0" fontId="2" fillId="5" borderId="7" applyNumberFormat="0">
      <alignment horizontal="left"/>
    </xf>
    <xf numFmtId="0" fontId="2" fillId="6" borderId="7" applyNumberFormat="0">
      <alignment horizontal="left"/>
    </xf>
    <xf numFmtId="0" fontId="2" fillId="5" borderId="7" applyNumberFormat="0">
      <alignment horizontal="right"/>
    </xf>
    <xf numFmtId="0" fontId="2" fillId="6" borderId="7" applyNumberFormat="0">
      <alignment horizontal="right"/>
    </xf>
    <xf numFmtId="0" fontId="2" fillId="5" borderId="7" applyNumberFormat="0">
      <alignment horizontal="center"/>
    </xf>
    <xf numFmtId="0" fontId="2" fillId="6" borderId="7" applyNumberFormat="0">
      <alignment horizontal="center"/>
    </xf>
    <xf numFmtId="0" fontId="2" fillId="0" borderId="15" applyNumberFormat="0"/>
    <xf numFmtId="0" fontId="2" fillId="0" borderId="7" applyNumberFormat="0"/>
    <xf numFmtId="0" fontId="2" fillId="0" borderId="8" applyNumberFormat="0"/>
    <xf numFmtId="0" fontId="2" fillId="0" borderId="9" applyNumberFormat="0"/>
    <xf numFmtId="195" fontId="2" fillId="6" borderId="7">
      <alignment horizontal="left"/>
    </xf>
    <xf numFmtId="195" fontId="2" fillId="5" borderId="7">
      <alignment horizontal="left"/>
    </xf>
    <xf numFmtId="192" fontId="2" fillId="5" borderId="14"/>
    <xf numFmtId="0" fontId="60" fillId="8" borderId="6" applyNumberFormat="0"/>
    <xf numFmtId="0" fontId="3" fillId="5" borderId="8" applyNumberFormat="0">
      <alignment horizontal="right"/>
    </xf>
    <xf numFmtId="0" fontId="3" fillId="5" borderId="9" applyNumberFormat="0">
      <alignment horizontal="right"/>
    </xf>
    <xf numFmtId="0" fontId="3" fillId="5" borderId="14" applyNumberFormat="0">
      <alignment horizontal="right"/>
    </xf>
    <xf numFmtId="0" fontId="3" fillId="6" borderId="7" applyNumberFormat="0">
      <alignment horizontal="right"/>
    </xf>
    <xf numFmtId="0" fontId="3" fillId="5" borderId="7" applyNumberFormat="0">
      <alignment horizontal="right"/>
    </xf>
    <xf numFmtId="191" fontId="2" fillId="6" borderId="0"/>
    <xf numFmtId="191" fontId="2" fillId="6" borderId="13"/>
    <xf numFmtId="191" fontId="2" fillId="6" borderId="7"/>
    <xf numFmtId="191" fontId="2" fillId="5" borderId="0"/>
    <xf numFmtId="191" fontId="2" fillId="5" borderId="13"/>
    <xf numFmtId="191" fontId="2" fillId="5" borderId="7"/>
    <xf numFmtId="191" fontId="2" fillId="5" borderId="8"/>
    <xf numFmtId="191" fontId="2" fillId="5" borderId="9"/>
    <xf numFmtId="191" fontId="2" fillId="5" borderId="14"/>
    <xf numFmtId="193" fontId="3" fillId="0" borderId="7">
      <alignment horizontal="right"/>
    </xf>
    <xf numFmtId="190" fontId="2" fillId="6" borderId="0"/>
    <xf numFmtId="190" fontId="2" fillId="6" borderId="13"/>
    <xf numFmtId="190" fontId="2" fillId="6" borderId="7"/>
    <xf numFmtId="190" fontId="2" fillId="5" borderId="0"/>
    <xf numFmtId="190" fontId="2" fillId="5" borderId="13"/>
    <xf numFmtId="190" fontId="2" fillId="5" borderId="7"/>
    <xf numFmtId="190" fontId="2" fillId="5" borderId="8"/>
    <xf numFmtId="190" fontId="2" fillId="5" borderId="9"/>
    <xf numFmtId="190" fontId="2" fillId="5" borderId="14"/>
    <xf numFmtId="0" fontId="2" fillId="0" borderId="15" applyNumberFormat="0"/>
    <xf numFmtId="0" fontId="2" fillId="0" borderId="0" applyNumberFormat="0"/>
    <xf numFmtId="0" fontId="2" fillId="0" borderId="10" applyNumberFormat="0"/>
    <xf numFmtId="0" fontId="2" fillId="0" borderId="12" applyNumberFormat="0"/>
    <xf numFmtId="0" fontId="2" fillId="0" borderId="7" applyNumberFormat="0"/>
    <xf numFmtId="0" fontId="2" fillId="0" borderId="13" applyNumberFormat="0"/>
    <xf numFmtId="0" fontId="2" fillId="0" borderId="11" applyNumberFormat="0"/>
    <xf numFmtId="0" fontId="2" fillId="0" borderId="16" applyNumberFormat="0"/>
    <xf numFmtId="0" fontId="3" fillId="0" borderId="7" applyNumberFormat="0">
      <alignment horizontal="right"/>
    </xf>
    <xf numFmtId="0" fontId="3" fillId="6" borderId="7" applyNumberFormat="0">
      <alignment horizontal="right"/>
    </xf>
    <xf numFmtId="191" fontId="2" fillId="0" borderId="7"/>
    <xf numFmtId="191" fontId="2" fillId="6" borderId="7"/>
    <xf numFmtId="192" fontId="2" fillId="0" borderId="13"/>
    <xf numFmtId="192" fontId="2" fillId="6" borderId="13"/>
    <xf numFmtId="194" fontId="2" fillId="0" borderId="7"/>
    <xf numFmtId="190" fontId="2" fillId="6" borderId="7"/>
    <xf numFmtId="194" fontId="2" fillId="0" borderId="13"/>
    <xf numFmtId="194" fontId="2" fillId="6" borderId="13"/>
    <xf numFmtId="0" fontId="2" fillId="0" borderId="15" applyNumberFormat="0"/>
    <xf numFmtId="192" fontId="2" fillId="0" borderId="7"/>
    <xf numFmtId="0" fontId="60" fillId="8" borderId="8" applyNumberFormat="0">
      <alignment horizontal="right"/>
    </xf>
    <xf numFmtId="192" fontId="61" fillId="7" borderId="7"/>
    <xf numFmtId="0" fontId="60" fillId="8" borderId="9" applyNumberFormat="0">
      <alignment horizontal="right"/>
    </xf>
    <xf numFmtId="191" fontId="61" fillId="7" borderId="7"/>
    <xf numFmtId="0" fontId="60" fillId="8" borderId="14" applyNumberFormat="0">
      <alignment horizontal="right"/>
    </xf>
    <xf numFmtId="190" fontId="61" fillId="7" borderId="13"/>
    <xf numFmtId="0" fontId="2" fillId="0" borderId="15" applyNumberFormat="0"/>
    <xf numFmtId="0" fontId="2" fillId="5" borderId="7" applyNumberFormat="0">
      <alignment horizontal="left"/>
    </xf>
    <xf numFmtId="0" fontId="2" fillId="6" borderId="7" applyNumberFormat="0">
      <alignment horizontal="left"/>
    </xf>
    <xf numFmtId="0" fontId="2" fillId="5" borderId="7" applyNumberFormat="0">
      <alignment horizontal="right"/>
    </xf>
    <xf numFmtId="0" fontId="2" fillId="6" borderId="7" applyNumberFormat="0">
      <alignment horizontal="right"/>
    </xf>
    <xf numFmtId="0" fontId="2" fillId="5" borderId="7" applyNumberFormat="0">
      <alignment horizontal="center"/>
    </xf>
    <xf numFmtId="0" fontId="2" fillId="6" borderId="7" applyNumberFormat="0">
      <alignment horizontal="center"/>
    </xf>
    <xf numFmtId="0" fontId="2" fillId="0" borderId="15" applyNumberFormat="0"/>
    <xf numFmtId="0" fontId="2" fillId="0" borderId="7" applyNumberFormat="0"/>
    <xf numFmtId="0" fontId="2" fillId="0" borderId="8" applyNumberFormat="0"/>
    <xf numFmtId="0" fontId="2" fillId="0" borderId="9" applyNumberFormat="0"/>
    <xf numFmtId="195" fontId="2" fillId="6" borderId="7">
      <alignment horizontal="left"/>
    </xf>
    <xf numFmtId="195" fontId="2" fillId="5" borderId="7">
      <alignment horizontal="left"/>
    </xf>
    <xf numFmtId="0" fontId="2" fillId="9" borderId="7" applyNumberFormat="0" applyFont="0" applyProtection="0">
      <alignment horizontal="right"/>
    </xf>
    <xf numFmtId="0" fontId="2" fillId="5" borderId="7" applyNumberFormat="0" applyFont="0" applyProtection="0">
      <alignment horizontal="center"/>
    </xf>
    <xf numFmtId="0" fontId="2" fillId="9" borderId="7" applyNumberFormat="0" applyFont="0" applyProtection="0">
      <alignment horizontal="center"/>
    </xf>
    <xf numFmtId="0" fontId="2" fillId="0" borderId="15" applyNumberFormat="0" applyFont="0" applyFill="0" applyAlignment="0" applyProtection="0"/>
    <xf numFmtId="0" fontId="2" fillId="0" borderId="7" applyNumberFormat="0" applyFont="0" applyFill="0" applyAlignment="0" applyProtection="0"/>
    <xf numFmtId="0" fontId="2" fillId="0" borderId="8" applyNumberFormat="0" applyFont="0" applyFill="0" applyAlignment="0" applyProtection="0"/>
    <xf numFmtId="0" fontId="2" fillId="0" borderId="6" applyNumberFormat="0">
      <alignment horizontal="center"/>
    </xf>
    <xf numFmtId="195" fontId="2" fillId="9" borderId="7" applyFont="0" applyProtection="0">
      <alignment horizontal="left"/>
    </xf>
    <xf numFmtId="195" fontId="2" fillId="5" borderId="7" applyFont="0" applyProtection="0">
      <alignment horizontal="left"/>
    </xf>
    <xf numFmtId="0" fontId="61" fillId="7" borderId="7" applyNumberFormat="0">
      <alignment horizontal="right"/>
    </xf>
    <xf numFmtId="192" fontId="61" fillId="7" borderId="7">
      <alignment horizontal="right"/>
    </xf>
    <xf numFmtId="192" fontId="61" fillId="7" borderId="13">
      <alignment horizontal="right"/>
    </xf>
    <xf numFmtId="191" fontId="61" fillId="7" borderId="7">
      <alignment horizontal="right"/>
    </xf>
    <xf numFmtId="190" fontId="61" fillId="7" borderId="7">
      <alignment horizontal="right"/>
    </xf>
    <xf numFmtId="192" fontId="2" fillId="6" borderId="13" applyAlignment="0" applyProtection="0"/>
    <xf numFmtId="190" fontId="61" fillId="7" borderId="13">
      <alignment horizontal="right"/>
    </xf>
    <xf numFmtId="192" fontId="2" fillId="5" borderId="0" applyAlignment="0" applyProtection="0"/>
    <xf numFmtId="192" fontId="2" fillId="5" borderId="13" applyAlignment="0" applyProtection="0"/>
    <xf numFmtId="0" fontId="2" fillId="6" borderId="7" applyNumberFormat="0">
      <alignment horizontal="center"/>
    </xf>
    <xf numFmtId="0" fontId="2" fillId="0" borderId="15" applyNumberFormat="0"/>
    <xf numFmtId="192" fontId="2" fillId="5" borderId="9" applyAlignment="0" applyProtection="0"/>
    <xf numFmtId="0" fontId="2" fillId="0" borderId="10" applyNumberFormat="0"/>
    <xf numFmtId="195" fontId="2" fillId="6" borderId="7">
      <alignment horizontal="left"/>
    </xf>
    <xf numFmtId="0" fontId="2" fillId="0" borderId="7" applyNumberFormat="0"/>
    <xf numFmtId="0" fontId="2" fillId="6" borderId="7" applyNumberFormat="0">
      <alignment horizontal="right"/>
    </xf>
    <xf numFmtId="0" fontId="2" fillId="0" borderId="11" applyNumberFormat="0"/>
    <xf numFmtId="0" fontId="2" fillId="0" borderId="16" applyNumberFormat="0"/>
    <xf numFmtId="0" fontId="3" fillId="5" borderId="9" applyNumberFormat="0" applyProtection="0">
      <alignment horizontal="right"/>
    </xf>
    <xf numFmtId="0" fontId="2" fillId="5" borderId="7" applyNumberFormat="0">
      <alignment horizontal="center"/>
    </xf>
    <xf numFmtId="0" fontId="3" fillId="5" borderId="14" applyNumberFormat="0" applyProtection="0">
      <alignment horizontal="right"/>
    </xf>
    <xf numFmtId="0" fontId="2" fillId="5" borderId="7" applyNumberFormat="0">
      <alignment horizontal="left"/>
    </xf>
    <xf numFmtId="0" fontId="3" fillId="6" borderId="7" applyNumberFormat="0" applyProtection="0">
      <alignment horizontal="right"/>
    </xf>
    <xf numFmtId="195" fontId="2" fillId="5" borderId="7">
      <alignment horizontal="left"/>
    </xf>
    <xf numFmtId="0" fontId="2" fillId="0" borderId="13" applyNumberFormat="0" applyFont="0" applyFill="0" applyAlignment="0" applyProtection="0"/>
    <xf numFmtId="0" fontId="2" fillId="5" borderId="7" applyNumberFormat="0">
      <alignment horizontal="right"/>
    </xf>
    <xf numFmtId="0" fontId="2" fillId="0" borderId="16" applyNumberFormat="0" applyFont="0" applyFill="0" applyAlignment="0" applyProtection="0"/>
    <xf numFmtId="0" fontId="3" fillId="5" borderId="7" applyNumberFormat="0" applyProtection="0">
      <alignment horizontal="right"/>
    </xf>
    <xf numFmtId="191" fontId="2" fillId="6" borderId="0" applyAlignment="0" applyProtection="0"/>
    <xf numFmtId="191" fontId="2" fillId="6" borderId="13" applyAlignment="0" applyProtection="0"/>
    <xf numFmtId="191" fontId="2" fillId="6" borderId="7" applyAlignment="0" applyProtection="0"/>
    <xf numFmtId="191" fontId="2" fillId="5" borderId="0" applyAlignment="0" applyProtection="0"/>
    <xf numFmtId="191" fontId="2" fillId="5" borderId="13" applyAlignment="0" applyProtection="0"/>
    <xf numFmtId="191" fontId="2" fillId="5" borderId="7" applyAlignment="0" applyProtection="0"/>
    <xf numFmtId="191" fontId="2" fillId="5" borderId="8" applyAlignment="0" applyProtection="0"/>
    <xf numFmtId="191" fontId="2" fillId="5" borderId="9" applyAlignment="0" applyProtection="0"/>
    <xf numFmtId="191" fontId="2" fillId="5" borderId="14" applyAlignment="0" applyProtection="0"/>
    <xf numFmtId="190" fontId="2" fillId="6" borderId="0" applyAlignment="0" applyProtection="0"/>
    <xf numFmtId="190" fontId="2" fillId="6" borderId="13" applyAlignment="0" applyProtection="0"/>
    <xf numFmtId="190" fontId="2" fillId="6" borderId="7" applyAlignment="0" applyProtection="0"/>
    <xf numFmtId="190" fontId="2" fillId="5" borderId="0" applyAlignment="0" applyProtection="0"/>
    <xf numFmtId="190" fontId="2" fillId="5" borderId="13" applyAlignment="0" applyProtection="0"/>
    <xf numFmtId="190" fontId="2" fillId="5" borderId="7" applyAlignment="0" applyProtection="0"/>
    <xf numFmtId="190" fontId="2" fillId="5" borderId="8" applyAlignment="0" applyProtection="0"/>
    <xf numFmtId="190" fontId="2" fillId="5" borderId="9" applyAlignment="0" applyProtection="0"/>
    <xf numFmtId="190" fontId="2" fillId="5" borderId="14" applyAlignment="0" applyProtection="0"/>
    <xf numFmtId="0" fontId="60" fillId="8" borderId="8" applyNumberFormat="0" applyProtection="0">
      <alignment horizontal="right"/>
    </xf>
    <xf numFmtId="0" fontId="60" fillId="8" borderId="9" applyNumberFormat="0" applyProtection="0">
      <alignment horizontal="right"/>
    </xf>
    <xf numFmtId="0" fontId="60" fillId="8" borderId="14" applyNumberFormat="0" applyProtection="0">
      <alignment horizontal="right"/>
    </xf>
    <xf numFmtId="0" fontId="2" fillId="0" borderId="15" applyNumberFormat="0" applyFill="0" applyAlignment="0" applyProtection="0"/>
    <xf numFmtId="0" fontId="2" fillId="0" borderId="6" applyNumberFormat="0" applyFill="0" applyProtection="0">
      <alignment horizontal="center"/>
    </xf>
    <xf numFmtId="0" fontId="2" fillId="0" borderId="6" applyNumberFormat="0" applyFill="0" applyProtection="0">
      <alignment horizontal="center"/>
    </xf>
    <xf numFmtId="0" fontId="61" fillId="7" borderId="7" applyNumberFormat="0" applyProtection="0">
      <alignment horizontal="right"/>
    </xf>
    <xf numFmtId="192" fontId="61" fillId="7" borderId="7" applyProtection="0">
      <alignment horizontal="right"/>
    </xf>
    <xf numFmtId="192" fontId="61" fillId="7" borderId="13" applyProtection="0">
      <alignment horizontal="right"/>
    </xf>
    <xf numFmtId="0" fontId="61" fillId="7" borderId="7" applyNumberFormat="0" applyProtection="0">
      <alignment horizontal="right"/>
    </xf>
    <xf numFmtId="192" fontId="61" fillId="7" borderId="7" applyProtection="0">
      <alignment horizontal="right"/>
    </xf>
    <xf numFmtId="192" fontId="61" fillId="7" borderId="13" applyProtection="0">
      <alignment horizontal="right"/>
    </xf>
    <xf numFmtId="191" fontId="61" fillId="7" borderId="7" applyProtection="0">
      <alignment horizontal="right"/>
    </xf>
    <xf numFmtId="0" fontId="2" fillId="6" borderId="7" applyNumberFormat="0" applyProtection="0">
      <alignment horizontal="center"/>
    </xf>
    <xf numFmtId="190" fontId="61" fillId="7" borderId="7" applyProtection="0">
      <alignment horizontal="right"/>
    </xf>
    <xf numFmtId="0" fontId="2" fillId="6" borderId="7" applyNumberFormat="0" applyProtection="0">
      <alignment horizontal="left"/>
    </xf>
    <xf numFmtId="190" fontId="61" fillId="7" borderId="13" applyProtection="0">
      <alignment horizontal="right"/>
    </xf>
    <xf numFmtId="195" fontId="2" fillId="6" borderId="7" applyProtection="0">
      <alignment horizontal="left"/>
    </xf>
    <xf numFmtId="0" fontId="2" fillId="6" borderId="7" applyNumberFormat="0" applyProtection="0">
      <alignment horizontal="center"/>
    </xf>
    <xf numFmtId="0" fontId="2" fillId="6" borderId="7" applyNumberFormat="0" applyProtection="0">
      <alignment horizontal="left"/>
    </xf>
    <xf numFmtId="0" fontId="2" fillId="5" borderId="7" applyNumberFormat="0" applyProtection="0">
      <alignment horizontal="center"/>
    </xf>
    <xf numFmtId="195" fontId="2" fillId="6" borderId="7" applyProtection="0">
      <alignment horizontal="left"/>
    </xf>
    <xf numFmtId="0" fontId="2" fillId="5" borderId="7" applyNumberFormat="0" applyProtection="0">
      <alignment horizontal="left"/>
    </xf>
    <xf numFmtId="0" fontId="2" fillId="6" borderId="7" applyNumberFormat="0" applyProtection="0">
      <alignment horizontal="right"/>
    </xf>
    <xf numFmtId="195" fontId="2" fillId="5" borderId="7" applyProtection="0">
      <alignment horizontal="left"/>
    </xf>
    <xf numFmtId="0" fontId="2" fillId="5" borderId="7" applyNumberFormat="0" applyProtection="0">
      <alignment horizontal="center"/>
    </xf>
    <xf numFmtId="0" fontId="2" fillId="5" borderId="7" applyNumberFormat="0" applyProtection="0">
      <alignment horizontal="left"/>
    </xf>
    <xf numFmtId="195" fontId="2" fillId="5" borderId="7" applyProtection="0">
      <alignment horizontal="left"/>
    </xf>
    <xf numFmtId="0" fontId="2" fillId="5" borderId="7" applyNumberFormat="0" applyProtection="0">
      <alignment horizontal="right"/>
    </xf>
    <xf numFmtId="0" fontId="2" fillId="5" borderId="8" applyNumberFormat="0" applyAlignment="0" applyProtection="0"/>
    <xf numFmtId="0" fontId="2" fillId="5" borderId="7" applyNumberFormat="0" applyAlignment="0" applyProtection="0"/>
    <xf numFmtId="0" fontId="2" fillId="5" borderId="9" applyNumberFormat="0" applyAlignment="0" applyProtection="0"/>
    <xf numFmtId="0" fontId="2" fillId="5" borderId="10" applyNumberFormat="0" applyAlignment="0" applyProtection="0"/>
    <xf numFmtId="0" fontId="2" fillId="5" borderId="8" applyNumberFormat="0" applyAlignment="0" applyProtection="0"/>
    <xf numFmtId="0" fontId="2" fillId="5" borderId="9" applyNumberFormat="0" applyAlignment="0" applyProtection="0"/>
    <xf numFmtId="0" fontId="2" fillId="5" borderId="10" applyNumberFormat="0" applyAlignment="0" applyProtection="0"/>
    <xf numFmtId="0" fontId="2" fillId="5" borderId="11" applyNumberFormat="0" applyAlignment="0" applyProtection="0"/>
    <xf numFmtId="0" fontId="2" fillId="5" borderId="12" applyNumberFormat="0" applyAlignment="0" applyProtection="0"/>
    <xf numFmtId="0" fontId="2" fillId="5" borderId="13" applyNumberFormat="0" applyAlignment="0" applyProtection="0"/>
    <xf numFmtId="38" fontId="5" fillId="0" borderId="17"/>
    <xf numFmtId="0" fontId="2" fillId="0" borderId="18" applyNumberFormat="0" applyProtection="0">
      <alignment horizontal="left" vertical="center"/>
    </xf>
    <xf numFmtId="0" fontId="2" fillId="0" borderId="0" applyNumberFormat="0" applyFill="0" applyBorder="0" applyProtection="0">
      <alignment horizontal="left" vertical="top" wrapText="1" indent="1"/>
    </xf>
    <xf numFmtId="0" fontId="19" fillId="0" borderId="19" applyNumberFormat="0" applyProtection="0">
      <alignment horizontal="centerContinuous" vertical="center"/>
    </xf>
    <xf numFmtId="37" fontId="7" fillId="10" borderId="0" applyNumberFormat="0" applyBorder="0" applyAlignment="0" applyProtection="0"/>
    <xf numFmtId="37" fontId="7" fillId="0" borderId="0"/>
    <xf numFmtId="3" fontId="20" fillId="0" borderId="3" applyProtection="0"/>
  </cellStyleXfs>
  <cellXfs count="460">
    <xf numFmtId="0" fontId="0" fillId="0" borderId="0" xfId="0"/>
    <xf numFmtId="0" fontId="1" fillId="11" borderId="0" xfId="53" applyFont="1" applyFill="1">
      <alignment vertical="center"/>
    </xf>
    <xf numFmtId="0" fontId="21" fillId="11" borderId="0" xfId="53" applyFont="1" applyFill="1">
      <alignment vertical="center"/>
    </xf>
    <xf numFmtId="177" fontId="1" fillId="11" borderId="0" xfId="53" applyNumberFormat="1" applyFont="1" applyFill="1">
      <alignment vertical="center"/>
    </xf>
    <xf numFmtId="164" fontId="1" fillId="11" borderId="0" xfId="53" applyNumberFormat="1" applyFont="1" applyFill="1">
      <alignment vertical="center"/>
    </xf>
    <xf numFmtId="0" fontId="1" fillId="11" borderId="0" xfId="53" applyFont="1" applyFill="1" applyBorder="1" applyAlignment="1">
      <alignment horizontal="left" indent="2"/>
    </xf>
    <xf numFmtId="0" fontId="1" fillId="11" borderId="5" xfId="53" applyFont="1" applyFill="1" applyBorder="1" applyAlignment="1">
      <alignment horizontal="left" vertical="center" indent="2"/>
    </xf>
    <xf numFmtId="0" fontId="1" fillId="11" borderId="5" xfId="53" applyFont="1" applyFill="1" applyBorder="1">
      <alignment vertical="center"/>
    </xf>
    <xf numFmtId="177" fontId="1" fillId="11" borderId="5" xfId="53" applyNumberFormat="1" applyFont="1" applyFill="1" applyBorder="1">
      <alignment vertical="center"/>
    </xf>
    <xf numFmtId="177" fontId="22" fillId="11" borderId="0" xfId="53" applyNumberFormat="1" applyFont="1" applyFill="1">
      <alignment vertical="center"/>
    </xf>
    <xf numFmtId="0" fontId="23" fillId="11" borderId="0" xfId="53" applyFont="1" applyFill="1" applyBorder="1" applyAlignment="1"/>
    <xf numFmtId="0" fontId="1" fillId="11" borderId="0" xfId="53" applyFont="1" applyFill="1" applyBorder="1" applyAlignment="1">
      <alignment horizontal="center"/>
    </xf>
    <xf numFmtId="0" fontId="1" fillId="11" borderId="0" xfId="53" applyFont="1" applyFill="1" applyBorder="1">
      <alignment vertical="center"/>
    </xf>
    <xf numFmtId="178" fontId="72" fillId="11" borderId="0" xfId="53" applyNumberFormat="1" applyFont="1" applyFill="1" applyBorder="1" applyAlignment="1">
      <alignment horizontal="center"/>
    </xf>
    <xf numFmtId="179" fontId="72" fillId="11" borderId="0" xfId="53" applyNumberFormat="1" applyFont="1" applyFill="1" applyBorder="1" applyAlignment="1">
      <alignment horizontal="center"/>
    </xf>
    <xf numFmtId="180" fontId="72" fillId="11" borderId="0" xfId="53" applyNumberFormat="1" applyFont="1" applyFill="1" applyBorder="1" applyAlignment="1">
      <alignment horizontal="center"/>
    </xf>
    <xf numFmtId="181" fontId="72" fillId="11" borderId="0" xfId="53" applyNumberFormat="1" applyFont="1" applyFill="1" applyBorder="1" applyAlignment="1">
      <alignment horizontal="center"/>
    </xf>
    <xf numFmtId="182" fontId="1" fillId="11" borderId="0" xfId="53" applyNumberFormat="1" applyFont="1" applyFill="1" applyBorder="1" applyAlignment="1">
      <alignment horizontal="center"/>
    </xf>
    <xf numFmtId="0" fontId="1" fillId="11" borderId="0" xfId="53" applyFont="1" applyFill="1" applyBorder="1" applyAlignment="1">
      <alignment horizontal="left" indent="1"/>
    </xf>
    <xf numFmtId="10" fontId="1" fillId="11" borderId="0" xfId="84" applyNumberFormat="1" applyFont="1" applyFill="1" applyBorder="1" applyAlignment="1">
      <alignment horizontal="center"/>
    </xf>
    <xf numFmtId="10" fontId="25" fillId="11" borderId="0" xfId="84" applyNumberFormat="1" applyFont="1" applyFill="1" applyBorder="1" applyAlignment="1">
      <alignment horizontal="center"/>
    </xf>
    <xf numFmtId="10" fontId="22" fillId="11" borderId="0" xfId="84" applyNumberFormat="1" applyFont="1" applyFill="1" applyBorder="1" applyAlignment="1">
      <alignment horizontal="center"/>
    </xf>
    <xf numFmtId="10" fontId="1" fillId="11" borderId="0" xfId="53" applyNumberFormat="1" applyFont="1" applyFill="1" applyBorder="1" applyAlignment="1">
      <alignment horizontal="center"/>
    </xf>
    <xf numFmtId="0" fontId="1" fillId="11" borderId="0" xfId="53" applyFont="1" applyFill="1" applyAlignment="1">
      <alignment horizontal="left" vertical="center" indent="1"/>
    </xf>
    <xf numFmtId="10" fontId="1" fillId="11" borderId="0" xfId="53" applyNumberFormat="1" applyFont="1" applyFill="1">
      <alignment vertical="center"/>
    </xf>
    <xf numFmtId="10" fontId="1" fillId="11" borderId="5" xfId="53" applyNumberFormat="1" applyFont="1" applyFill="1" applyBorder="1">
      <alignment vertical="center"/>
    </xf>
    <xf numFmtId="10" fontId="72" fillId="11" borderId="0" xfId="53" applyNumberFormat="1" applyFont="1" applyFill="1">
      <alignment vertical="center"/>
    </xf>
    <xf numFmtId="177" fontId="72" fillId="11" borderId="0" xfId="53" applyNumberFormat="1" applyFont="1" applyFill="1">
      <alignment vertical="center"/>
    </xf>
    <xf numFmtId="0" fontId="23" fillId="11" borderId="0" xfId="53" applyFont="1" applyFill="1">
      <alignment vertical="center"/>
    </xf>
    <xf numFmtId="177" fontId="23" fillId="11" borderId="0" xfId="53" applyNumberFormat="1" applyFont="1" applyFill="1">
      <alignment vertical="center"/>
    </xf>
    <xf numFmtId="183" fontId="1" fillId="11" borderId="0" xfId="53" applyNumberFormat="1" applyFont="1" applyFill="1" applyBorder="1" applyAlignment="1">
      <alignment horizontal="center"/>
    </xf>
    <xf numFmtId="0" fontId="1" fillId="11" borderId="0" xfId="0" applyFont="1" applyFill="1"/>
    <xf numFmtId="0" fontId="23" fillId="11" borderId="0" xfId="0" applyFont="1" applyFill="1"/>
    <xf numFmtId="0" fontId="21" fillId="11" borderId="0" xfId="0" applyFont="1" applyFill="1"/>
    <xf numFmtId="0" fontId="73" fillId="11" borderId="0" xfId="52" applyFont="1" applyFill="1"/>
    <xf numFmtId="0" fontId="69" fillId="11" borderId="0" xfId="52" applyFill="1"/>
    <xf numFmtId="0" fontId="74" fillId="11" borderId="0" xfId="52" applyFont="1" applyFill="1"/>
    <xf numFmtId="0" fontId="69" fillId="11" borderId="0" xfId="52" applyFill="1" applyAlignment="1">
      <alignment horizontal="left" indent="1"/>
    </xf>
    <xf numFmtId="0" fontId="27" fillId="5" borderId="0" xfId="49" applyFont="1" applyFill="1" applyBorder="1" applyAlignment="1"/>
    <xf numFmtId="0" fontId="1" fillId="11" borderId="0" xfId="49" applyFont="1" applyFill="1"/>
    <xf numFmtId="0" fontId="1" fillId="11" borderId="0" xfId="49" applyFont="1" applyFill="1" applyBorder="1"/>
    <xf numFmtId="0" fontId="29" fillId="11" borderId="0" xfId="49" applyFont="1" applyFill="1" applyBorder="1" applyAlignment="1"/>
    <xf numFmtId="0" fontId="1" fillId="11" borderId="0" xfId="49" applyFont="1" applyFill="1" applyBorder="1" applyAlignment="1">
      <alignment horizontal="center"/>
    </xf>
    <xf numFmtId="0" fontId="22" fillId="11" borderId="0" xfId="53" applyFont="1" applyFill="1">
      <alignment vertical="center"/>
    </xf>
    <xf numFmtId="0" fontId="23" fillId="11" borderId="0" xfId="53" applyFont="1" applyFill="1" applyAlignment="1">
      <alignment horizontal="left" vertical="center"/>
    </xf>
    <xf numFmtId="184" fontId="1" fillId="11" borderId="0" xfId="53" applyNumberFormat="1" applyFont="1" applyFill="1" applyBorder="1" applyAlignment="1">
      <alignment horizontal="center"/>
    </xf>
    <xf numFmtId="10" fontId="1" fillId="11" borderId="0" xfId="84" applyNumberFormat="1" applyFont="1" applyFill="1" applyBorder="1" applyAlignment="1">
      <alignment horizontal="left"/>
    </xf>
    <xf numFmtId="0" fontId="23" fillId="11" borderId="0" xfId="53" applyFont="1" applyFill="1" applyBorder="1" applyAlignment="1">
      <alignment horizontal="left" indent="1"/>
    </xf>
    <xf numFmtId="166" fontId="69" fillId="11" borderId="0" xfId="52" applyNumberFormat="1" applyFill="1"/>
    <xf numFmtId="38" fontId="69" fillId="11" borderId="0" xfId="52" applyNumberFormat="1" applyFill="1"/>
    <xf numFmtId="0" fontId="69" fillId="11" borderId="20" xfId="52" applyFill="1" applyBorder="1"/>
    <xf numFmtId="165" fontId="74" fillId="11" borderId="17" xfId="52" applyNumberFormat="1" applyFont="1" applyFill="1" applyBorder="1"/>
    <xf numFmtId="165" fontId="74" fillId="11" borderId="21" xfId="52" applyNumberFormat="1" applyFont="1" applyFill="1" applyBorder="1"/>
    <xf numFmtId="0" fontId="74" fillId="11" borderId="22" xfId="52" applyFont="1" applyFill="1" applyBorder="1"/>
    <xf numFmtId="0" fontId="69" fillId="11" borderId="22" xfId="52" applyFill="1" applyBorder="1"/>
    <xf numFmtId="166" fontId="69" fillId="11" borderId="0" xfId="52" applyNumberFormat="1" applyFill="1" applyBorder="1"/>
    <xf numFmtId="0" fontId="69" fillId="11" borderId="0" xfId="52" applyFill="1" applyBorder="1"/>
    <xf numFmtId="0" fontId="69" fillId="11" borderId="23" xfId="52" applyFill="1" applyBorder="1"/>
    <xf numFmtId="0" fontId="69" fillId="11" borderId="24" xfId="52" applyFill="1" applyBorder="1"/>
    <xf numFmtId="0" fontId="69" fillId="11" borderId="5" xfId="52" applyFill="1" applyBorder="1"/>
    <xf numFmtId="0" fontId="69" fillId="11" borderId="25" xfId="52" applyFill="1" applyBorder="1"/>
    <xf numFmtId="0" fontId="74" fillId="11" borderId="26" xfId="52" applyFont="1" applyFill="1" applyBorder="1"/>
    <xf numFmtId="0" fontId="74" fillId="11" borderId="27" xfId="52" applyFont="1" applyFill="1" applyBorder="1"/>
    <xf numFmtId="9" fontId="72" fillId="11" borderId="0" xfId="0" applyNumberFormat="1" applyFont="1" applyFill="1"/>
    <xf numFmtId="165" fontId="1" fillId="11" borderId="0" xfId="0" applyNumberFormat="1" applyFont="1" applyFill="1"/>
    <xf numFmtId="177" fontId="23" fillId="11" borderId="0" xfId="0" applyNumberFormat="1" applyFont="1" applyFill="1"/>
    <xf numFmtId="0" fontId="23" fillId="11" borderId="0" xfId="0" applyFont="1" applyFill="1" applyAlignment="1">
      <alignment horizontal="center"/>
    </xf>
    <xf numFmtId="0" fontId="1" fillId="11" borderId="0" xfId="0" applyFont="1" applyFill="1" applyAlignment="1">
      <alignment horizontal="left" indent="1"/>
    </xf>
    <xf numFmtId="9" fontId="1" fillId="11" borderId="0" xfId="0" applyNumberFormat="1" applyFont="1" applyFill="1"/>
    <xf numFmtId="10" fontId="34" fillId="11" borderId="0" xfId="84" applyNumberFormat="1" applyFont="1" applyFill="1" applyBorder="1" applyAlignment="1">
      <alignment horizontal="center"/>
    </xf>
    <xf numFmtId="0" fontId="22" fillId="11" borderId="0" xfId="53" applyFont="1" applyFill="1" applyBorder="1" applyAlignment="1">
      <alignment horizontal="left" indent="1"/>
    </xf>
    <xf numFmtId="0" fontId="22" fillId="11" borderId="0" xfId="53" applyFont="1" applyFill="1" applyAlignment="1">
      <alignment horizontal="left" vertical="center" indent="1"/>
    </xf>
    <xf numFmtId="0" fontId="22" fillId="11" borderId="0" xfId="53" applyFont="1" applyFill="1" applyBorder="1" applyAlignment="1">
      <alignment horizontal="left" indent="2"/>
    </xf>
    <xf numFmtId="0" fontId="21" fillId="11" borderId="0" xfId="57" applyFont="1" applyFill="1"/>
    <xf numFmtId="0" fontId="1" fillId="11" borderId="0" xfId="57" applyFont="1" applyFill="1"/>
    <xf numFmtId="10" fontId="72" fillId="11" borderId="0" xfId="57" applyNumberFormat="1" applyFont="1" applyFill="1"/>
    <xf numFmtId="177" fontId="72" fillId="11" borderId="0" xfId="57" applyNumberFormat="1" applyFont="1" applyFill="1"/>
    <xf numFmtId="9" fontId="72" fillId="11" borderId="0" xfId="57" applyNumberFormat="1" applyFont="1" applyFill="1"/>
    <xf numFmtId="0" fontId="23" fillId="12" borderId="0" xfId="57" applyFont="1" applyFill="1" applyAlignment="1">
      <alignment horizontal="center"/>
    </xf>
    <xf numFmtId="0" fontId="23" fillId="11" borderId="0" xfId="57" applyFont="1" applyFill="1" applyAlignment="1">
      <alignment horizontal="center"/>
    </xf>
    <xf numFmtId="186" fontId="1" fillId="11" borderId="0" xfId="57" applyNumberFormat="1" applyFont="1" applyFill="1"/>
    <xf numFmtId="165" fontId="1" fillId="11" borderId="0" xfId="57" applyNumberFormat="1" applyFont="1" applyFill="1"/>
    <xf numFmtId="6" fontId="23" fillId="12" borderId="0" xfId="57" applyNumberFormat="1" applyFont="1" applyFill="1"/>
    <xf numFmtId="6" fontId="1" fillId="11" borderId="0" xfId="57" applyNumberFormat="1" applyFont="1" applyFill="1"/>
    <xf numFmtId="0" fontId="1" fillId="11" borderId="0" xfId="57" applyFont="1" applyFill="1" applyAlignment="1">
      <alignment horizontal="left" indent="2"/>
    </xf>
    <xf numFmtId="177" fontId="23" fillId="11" borderId="0" xfId="57" applyNumberFormat="1" applyFont="1" applyFill="1"/>
    <xf numFmtId="6" fontId="23" fillId="11" borderId="0" xfId="57" applyNumberFormat="1" applyFont="1" applyFill="1"/>
    <xf numFmtId="0" fontId="23" fillId="11" borderId="0" xfId="57" applyFont="1" applyFill="1"/>
    <xf numFmtId="177" fontId="1" fillId="11" borderId="0" xfId="57" applyNumberFormat="1" applyFont="1" applyFill="1"/>
    <xf numFmtId="6" fontId="23" fillId="11" borderId="0" xfId="57" applyNumberFormat="1" applyFont="1" applyFill="1" applyAlignment="1">
      <alignment horizontal="right"/>
    </xf>
    <xf numFmtId="0" fontId="24" fillId="11" borderId="0" xfId="53" applyFont="1" applyFill="1" applyBorder="1" applyAlignment="1">
      <alignment vertical="center"/>
    </xf>
    <xf numFmtId="0" fontId="23" fillId="11" borderId="0" xfId="53" applyFont="1" applyFill="1" applyAlignment="1">
      <alignment horizontal="right" vertical="center"/>
    </xf>
    <xf numFmtId="0" fontId="1" fillId="11" borderId="20" xfId="0" applyFont="1" applyFill="1" applyBorder="1"/>
    <xf numFmtId="0" fontId="1" fillId="11" borderId="17" xfId="0" applyFont="1" applyFill="1" applyBorder="1"/>
    <xf numFmtId="0" fontId="1" fillId="11" borderId="21" xfId="0" applyFont="1" applyFill="1" applyBorder="1"/>
    <xf numFmtId="0" fontId="1" fillId="11" borderId="22" xfId="0" applyFont="1" applyFill="1" applyBorder="1"/>
    <xf numFmtId="0" fontId="1" fillId="11" borderId="0" xfId="0" applyFont="1" applyFill="1" applyBorder="1"/>
    <xf numFmtId="0" fontId="1" fillId="11" borderId="23" xfId="0" applyFont="1" applyFill="1" applyBorder="1"/>
    <xf numFmtId="0" fontId="1" fillId="11" borderId="24" xfId="0" applyFont="1" applyFill="1" applyBorder="1"/>
    <xf numFmtId="0" fontId="1" fillId="11" borderId="5" xfId="0" applyFont="1" applyFill="1" applyBorder="1"/>
    <xf numFmtId="0" fontId="1" fillId="11" borderId="25" xfId="0" applyFont="1" applyFill="1" applyBorder="1"/>
    <xf numFmtId="0" fontId="24" fillId="11" borderId="0" xfId="53" applyFont="1" applyFill="1" applyAlignment="1">
      <alignment vertical="center"/>
    </xf>
    <xf numFmtId="0" fontId="74" fillId="11" borderId="20" xfId="52" applyFont="1" applyFill="1" applyBorder="1"/>
    <xf numFmtId="10" fontId="69" fillId="11" borderId="5" xfId="52" applyNumberFormat="1" applyFill="1" applyBorder="1"/>
    <xf numFmtId="38" fontId="69" fillId="11" borderId="25" xfId="52" applyNumberFormat="1" applyFill="1" applyBorder="1"/>
    <xf numFmtId="9" fontId="72" fillId="11" borderId="0" xfId="79" applyFont="1" applyFill="1"/>
    <xf numFmtId="9" fontId="72" fillId="11" borderId="0" xfId="52" applyNumberFormat="1" applyFont="1" applyFill="1"/>
    <xf numFmtId="187" fontId="1" fillId="11" borderId="0" xfId="57" applyNumberFormat="1" applyFont="1" applyFill="1"/>
    <xf numFmtId="177" fontId="72" fillId="11" borderId="0" xfId="0" applyNumberFormat="1" applyFont="1" applyFill="1" applyAlignment="1"/>
    <xf numFmtId="10" fontId="72" fillId="11" borderId="0" xfId="0" applyNumberFormat="1" applyFont="1" applyFill="1" applyAlignment="1"/>
    <xf numFmtId="177" fontId="1" fillId="11" borderId="0" xfId="0" applyNumberFormat="1" applyFont="1" applyFill="1" applyAlignment="1"/>
    <xf numFmtId="177" fontId="35" fillId="11" borderId="0" xfId="49" applyNumberFormat="1" applyFont="1" applyFill="1"/>
    <xf numFmtId="0" fontId="0" fillId="11" borderId="0" xfId="0" applyFill="1"/>
    <xf numFmtId="0" fontId="36" fillId="11" borderId="20" xfId="49" applyFont="1" applyFill="1" applyBorder="1"/>
    <xf numFmtId="0" fontId="36" fillId="11" borderId="22" xfId="49" applyFont="1" applyFill="1" applyBorder="1"/>
    <xf numFmtId="0" fontId="35" fillId="11" borderId="22" xfId="49" applyFont="1" applyFill="1" applyBorder="1"/>
    <xf numFmtId="0" fontId="35" fillId="11" borderId="24" xfId="49" applyFont="1" applyFill="1" applyBorder="1"/>
    <xf numFmtId="0" fontId="36" fillId="11" borderId="0" xfId="49" applyFont="1" applyFill="1"/>
    <xf numFmtId="6" fontId="36" fillId="5" borderId="0" xfId="5" applyNumberFormat="1" applyFont="1" applyFill="1"/>
    <xf numFmtId="0" fontId="22" fillId="11" borderId="0" xfId="49" applyFont="1" applyFill="1"/>
    <xf numFmtId="0" fontId="44" fillId="11" borderId="0" xfId="49" applyFont="1" applyFill="1"/>
    <xf numFmtId="15" fontId="45" fillId="11" borderId="0" xfId="51" applyNumberFormat="1" applyFont="1" applyFill="1" applyBorder="1" applyAlignment="1">
      <alignment horizontal="left" vertical="top" wrapText="1"/>
    </xf>
    <xf numFmtId="0" fontId="35" fillId="11" borderId="0" xfId="56" applyFont="1" applyFill="1"/>
    <xf numFmtId="0" fontId="35" fillId="11" borderId="5" xfId="56" applyFont="1" applyFill="1" applyBorder="1" applyAlignment="1">
      <alignment horizontal="center"/>
    </xf>
    <xf numFmtId="0" fontId="46" fillId="11" borderId="0" xfId="56" applyFont="1" applyFill="1" applyAlignment="1">
      <alignment horizontal="center"/>
    </xf>
    <xf numFmtId="0" fontId="36" fillId="11" borderId="17" xfId="56" applyFont="1" applyFill="1" applyBorder="1"/>
    <xf numFmtId="10" fontId="43" fillId="11" borderId="0" xfId="56" applyNumberFormat="1" applyFont="1" applyFill="1" applyAlignment="1">
      <alignment horizontal="center"/>
    </xf>
    <xf numFmtId="185" fontId="36" fillId="11" borderId="0" xfId="56" applyNumberFormat="1" applyFont="1" applyFill="1" applyAlignment="1">
      <alignment horizontal="center"/>
    </xf>
    <xf numFmtId="0" fontId="36" fillId="11" borderId="5" xfId="56" applyFont="1" applyFill="1" applyBorder="1"/>
    <xf numFmtId="10" fontId="43" fillId="11" borderId="5" xfId="56" applyNumberFormat="1" applyFont="1" applyFill="1" applyBorder="1" applyAlignment="1">
      <alignment horizontal="center"/>
    </xf>
    <xf numFmtId="0" fontId="35" fillId="11" borderId="0" xfId="49" applyFont="1" applyFill="1"/>
    <xf numFmtId="9" fontId="35" fillId="11" borderId="0" xfId="49" applyNumberFormat="1" applyFont="1" applyFill="1" applyBorder="1" applyAlignment="1">
      <alignment horizontal="center"/>
    </xf>
    <xf numFmtId="10" fontId="35" fillId="11" borderId="0" xfId="49" applyNumberFormat="1" applyFont="1" applyFill="1" applyAlignment="1">
      <alignment horizontal="center"/>
    </xf>
    <xf numFmtId="5" fontId="35" fillId="11" borderId="0" xfId="49" applyNumberFormat="1" applyFont="1" applyFill="1" applyAlignment="1">
      <alignment horizontal="right"/>
    </xf>
    <xf numFmtId="0" fontId="35" fillId="11" borderId="0" xfId="49" applyFont="1" applyFill="1" applyAlignment="1">
      <alignment horizontal="center"/>
    </xf>
    <xf numFmtId="10" fontId="36" fillId="11" borderId="0" xfId="49" applyNumberFormat="1" applyFont="1" applyFill="1"/>
    <xf numFmtId="0" fontId="40" fillId="11" borderId="0" xfId="49" applyFont="1" applyFill="1"/>
    <xf numFmtId="6" fontId="35" fillId="11" borderId="0" xfId="49" applyNumberFormat="1" applyFont="1" applyFill="1"/>
    <xf numFmtId="6" fontId="36" fillId="11" borderId="0" xfId="49" applyNumberFormat="1" applyFont="1" applyFill="1"/>
    <xf numFmtId="6" fontId="36" fillId="11" borderId="0" xfId="5" applyNumberFormat="1" applyFont="1" applyFill="1"/>
    <xf numFmtId="6" fontId="35" fillId="11" borderId="5" xfId="49" applyNumberFormat="1" applyFont="1" applyFill="1" applyBorder="1"/>
    <xf numFmtId="6" fontId="36" fillId="11" borderId="5" xfId="49" applyNumberFormat="1" applyFont="1" applyFill="1" applyBorder="1"/>
    <xf numFmtId="6" fontId="36" fillId="11" borderId="5" xfId="5" applyNumberFormat="1" applyFont="1" applyFill="1" applyBorder="1"/>
    <xf numFmtId="5" fontId="35" fillId="11" borderId="0" xfId="49" applyNumberFormat="1" applyFont="1" applyFill="1"/>
    <xf numFmtId="6" fontId="35" fillId="11" borderId="0" xfId="5" applyNumberFormat="1" applyFont="1" applyFill="1"/>
    <xf numFmtId="9" fontId="40" fillId="11" borderId="0" xfId="49" applyNumberFormat="1" applyFont="1" applyFill="1"/>
    <xf numFmtId="9" fontId="35" fillId="11" borderId="0" xfId="49" applyNumberFormat="1" applyFont="1" applyFill="1"/>
    <xf numFmtId="9" fontId="75" fillId="11" borderId="0" xfId="49" applyNumberFormat="1" applyFont="1" applyFill="1"/>
    <xf numFmtId="0" fontId="35" fillId="11" borderId="0" xfId="49" applyFont="1" applyFill="1" applyAlignment="1">
      <alignment horizontal="right"/>
    </xf>
    <xf numFmtId="6" fontId="41" fillId="11" borderId="0" xfId="49" applyNumberFormat="1" applyFont="1" applyFill="1"/>
    <xf numFmtId="10" fontId="36" fillId="11" borderId="17" xfId="49" applyNumberFormat="1" applyFont="1" applyFill="1" applyBorder="1"/>
    <xf numFmtId="6" fontId="36" fillId="11" borderId="17" xfId="49" applyNumberFormat="1" applyFont="1" applyFill="1" applyBorder="1"/>
    <xf numFmtId="6" fontId="36" fillId="11" borderId="17" xfId="5" applyNumberFormat="1" applyFont="1" applyFill="1" applyBorder="1"/>
    <xf numFmtId="10" fontId="36" fillId="11" borderId="0" xfId="49" applyNumberFormat="1" applyFont="1" applyFill="1" applyBorder="1"/>
    <xf numFmtId="6" fontId="35" fillId="11" borderId="0" xfId="49" applyNumberFormat="1" applyFont="1" applyFill="1" applyBorder="1"/>
    <xf numFmtId="6" fontId="36" fillId="11" borderId="0" xfId="5" applyNumberFormat="1" applyFont="1" applyFill="1" applyBorder="1"/>
    <xf numFmtId="6" fontId="75" fillId="11" borderId="0" xfId="49" applyNumberFormat="1" applyFont="1" applyFill="1" applyBorder="1"/>
    <xf numFmtId="6" fontId="36" fillId="11" borderId="0" xfId="49" applyNumberFormat="1" applyFont="1" applyFill="1" applyBorder="1"/>
    <xf numFmtId="9" fontId="35" fillId="11" borderId="0" xfId="49" applyNumberFormat="1" applyFont="1" applyFill="1" applyBorder="1"/>
    <xf numFmtId="6" fontId="35" fillId="11" borderId="0" xfId="5" applyNumberFormat="1" applyFont="1" applyFill="1" applyBorder="1"/>
    <xf numFmtId="9" fontId="42" fillId="11" borderId="0" xfId="49" applyNumberFormat="1" applyFont="1" applyFill="1" applyBorder="1"/>
    <xf numFmtId="6" fontId="43" fillId="11" borderId="0" xfId="49" applyNumberFormat="1" applyFont="1" applyFill="1" applyBorder="1"/>
    <xf numFmtId="10" fontId="35" fillId="11" borderId="0" xfId="49" applyNumberFormat="1" applyFont="1" applyFill="1" applyBorder="1"/>
    <xf numFmtId="10" fontId="35" fillId="11" borderId="5" xfId="49" applyNumberFormat="1" applyFont="1" applyFill="1" applyBorder="1"/>
    <xf numFmtId="6" fontId="35" fillId="11" borderId="5" xfId="5" applyNumberFormat="1" applyFont="1" applyFill="1" applyBorder="1"/>
    <xf numFmtId="10" fontId="41" fillId="11" borderId="0" xfId="49" applyNumberFormat="1" applyFont="1" applyFill="1"/>
    <xf numFmtId="9" fontId="35" fillId="11" borderId="17" xfId="49" applyNumberFormat="1" applyFont="1" applyFill="1" applyBorder="1"/>
    <xf numFmtId="0" fontId="35" fillId="11" borderId="20" xfId="49" applyFont="1" applyFill="1" applyBorder="1"/>
    <xf numFmtId="6" fontId="35" fillId="11" borderId="17" xfId="49" applyNumberFormat="1" applyFont="1" applyFill="1" applyBorder="1"/>
    <xf numFmtId="6" fontId="41" fillId="11" borderId="0" xfId="49" applyNumberFormat="1" applyFont="1" applyFill="1" applyBorder="1"/>
    <xf numFmtId="0" fontId="35" fillId="11" borderId="5" xfId="49" applyFont="1" applyFill="1" applyBorder="1"/>
    <xf numFmtId="0" fontId="35" fillId="11" borderId="0" xfId="49" applyFont="1" applyFill="1" applyBorder="1" applyAlignment="1">
      <alignment horizontal="left"/>
    </xf>
    <xf numFmtId="0" fontId="35" fillId="11" borderId="20" xfId="49" applyFont="1" applyFill="1" applyBorder="1" applyAlignment="1">
      <alignment horizontal="left"/>
    </xf>
    <xf numFmtId="10" fontId="35" fillId="11" borderId="21" xfId="49" applyNumberFormat="1" applyFont="1" applyFill="1" applyBorder="1"/>
    <xf numFmtId="0" fontId="35" fillId="11" borderId="22" xfId="49" applyFont="1" applyFill="1" applyBorder="1" applyAlignment="1">
      <alignment horizontal="left"/>
    </xf>
    <xf numFmtId="185" fontId="35" fillId="11" borderId="0" xfId="5" applyNumberFormat="1" applyFont="1" applyFill="1" applyBorder="1"/>
    <xf numFmtId="0" fontId="35" fillId="11" borderId="24" xfId="49" applyFont="1" applyFill="1" applyBorder="1" applyAlignment="1">
      <alignment horizontal="left"/>
    </xf>
    <xf numFmtId="188" fontId="35" fillId="11" borderId="25" xfId="15" applyNumberFormat="1" applyFont="1" applyFill="1" applyBorder="1"/>
    <xf numFmtId="188" fontId="35" fillId="11" borderId="0" xfId="15" applyNumberFormat="1" applyFont="1" applyFill="1" applyBorder="1"/>
    <xf numFmtId="6" fontId="35" fillId="11" borderId="0" xfId="15" applyNumberFormat="1" applyFont="1" applyFill="1" applyBorder="1"/>
    <xf numFmtId="0" fontId="35" fillId="11" borderId="0" xfId="49" applyFont="1" applyFill="1" applyAlignment="1">
      <alignment horizontal="left"/>
    </xf>
    <xf numFmtId="0" fontId="36" fillId="11" borderId="20" xfId="49" applyFont="1" applyFill="1" applyBorder="1" applyAlignment="1">
      <alignment horizontal="left"/>
    </xf>
    <xf numFmtId="0" fontId="36" fillId="11" borderId="0" xfId="49" applyFont="1" applyFill="1" applyBorder="1"/>
    <xf numFmtId="0" fontId="36" fillId="11" borderId="22" xfId="49" applyFont="1" applyFill="1" applyBorder="1" applyAlignment="1">
      <alignment horizontal="left"/>
    </xf>
    <xf numFmtId="0" fontId="36" fillId="11" borderId="23" xfId="49" applyFont="1" applyFill="1" applyBorder="1"/>
    <xf numFmtId="10" fontId="35" fillId="11" borderId="23" xfId="49" applyNumberFormat="1" applyFont="1" applyFill="1" applyBorder="1" applyAlignment="1">
      <alignment horizontal="right"/>
    </xf>
    <xf numFmtId="10" fontId="35" fillId="11" borderId="0" xfId="49" applyNumberFormat="1" applyFont="1" applyFill="1" applyBorder="1" applyAlignment="1">
      <alignment horizontal="right"/>
    </xf>
    <xf numFmtId="185" fontId="35" fillId="11" borderId="0" xfId="5" applyNumberFormat="1" applyFont="1" applyFill="1" applyBorder="1" applyAlignment="1">
      <alignment horizontal="right"/>
    </xf>
    <xf numFmtId="185" fontId="36" fillId="11" borderId="0" xfId="5" applyNumberFormat="1" applyFont="1" applyFill="1"/>
    <xf numFmtId="0" fontId="48" fillId="11" borderId="26" xfId="49" applyFont="1" applyFill="1" applyBorder="1"/>
    <xf numFmtId="5" fontId="48" fillId="11" borderId="28" xfId="49" applyNumberFormat="1" applyFont="1" applyFill="1" applyBorder="1"/>
    <xf numFmtId="5" fontId="48" fillId="11" borderId="0" xfId="49" applyNumberFormat="1" applyFont="1" applyFill="1" applyBorder="1"/>
    <xf numFmtId="43" fontId="49" fillId="11" borderId="0" xfId="49" applyNumberFormat="1" applyFont="1" applyFill="1"/>
    <xf numFmtId="0" fontId="48" fillId="11" borderId="27" xfId="49" applyFont="1" applyFill="1" applyBorder="1"/>
    <xf numFmtId="0" fontId="49" fillId="11" borderId="29" xfId="49" applyFont="1" applyFill="1" applyBorder="1"/>
    <xf numFmtId="0" fontId="49" fillId="11" borderId="0" xfId="49" applyFont="1" applyFill="1" applyBorder="1"/>
    <xf numFmtId="0" fontId="49" fillId="11" borderId="0" xfId="49" applyFont="1" applyFill="1"/>
    <xf numFmtId="0" fontId="48" fillId="11" borderId="0" xfId="49" applyFont="1" applyFill="1" applyBorder="1"/>
    <xf numFmtId="0" fontId="36" fillId="11" borderId="0" xfId="49" applyFont="1" applyFill="1" applyAlignment="1">
      <alignment horizontal="right"/>
    </xf>
    <xf numFmtId="0" fontId="36" fillId="11" borderId="0" xfId="49" applyFont="1" applyFill="1" applyAlignment="1">
      <alignment horizontal="center"/>
    </xf>
    <xf numFmtId="10" fontId="36" fillId="11" borderId="0" xfId="49" applyNumberFormat="1" applyFont="1" applyFill="1" applyAlignment="1">
      <alignment horizontal="center"/>
    </xf>
    <xf numFmtId="10" fontId="35" fillId="11" borderId="0" xfId="49" applyNumberFormat="1" applyFont="1" applyFill="1" applyBorder="1" applyAlignment="1">
      <alignment horizontal="center"/>
    </xf>
    <xf numFmtId="0" fontId="50" fillId="11" borderId="0" xfId="49" applyFont="1" applyFill="1"/>
    <xf numFmtId="9" fontId="75" fillId="11" borderId="0" xfId="49" applyNumberFormat="1" applyFont="1" applyFill="1" applyBorder="1"/>
    <xf numFmtId="5" fontId="75" fillId="11" borderId="0" xfId="56" applyNumberFormat="1" applyFont="1" applyFill="1" applyAlignment="1">
      <alignment horizontal="right"/>
    </xf>
    <xf numFmtId="5" fontId="75" fillId="11" borderId="5" xfId="56" applyNumberFormat="1" applyFont="1" applyFill="1" applyBorder="1" applyAlignment="1">
      <alignment horizontal="right"/>
    </xf>
    <xf numFmtId="10" fontId="36" fillId="11" borderId="0" xfId="56" applyNumberFormat="1" applyFont="1" applyFill="1" applyAlignment="1">
      <alignment horizontal="center"/>
    </xf>
    <xf numFmtId="10" fontId="36" fillId="11" borderId="5" xfId="56" applyNumberFormat="1" applyFont="1" applyFill="1" applyBorder="1" applyAlignment="1">
      <alignment horizontal="center"/>
    </xf>
    <xf numFmtId="1" fontId="36" fillId="11" borderId="4" xfId="49" applyNumberFormat="1" applyFont="1" applyFill="1" applyBorder="1" applyAlignment="1">
      <alignment horizontal="center"/>
    </xf>
    <xf numFmtId="9" fontId="35" fillId="11" borderId="30" xfId="49" applyNumberFormat="1" applyFont="1" applyFill="1" applyBorder="1"/>
    <xf numFmtId="10" fontId="35" fillId="11" borderId="5" xfId="49" applyNumberFormat="1" applyFont="1" applyFill="1" applyBorder="1" applyAlignment="1">
      <alignment horizontal="right"/>
    </xf>
    <xf numFmtId="9" fontId="75" fillId="11" borderId="17" xfId="49" applyNumberFormat="1" applyFont="1" applyFill="1" applyBorder="1"/>
    <xf numFmtId="6" fontId="36" fillId="11" borderId="21" xfId="5" applyNumberFormat="1" applyFont="1" applyFill="1" applyBorder="1"/>
    <xf numFmtId="6" fontId="36" fillId="11" borderId="23" xfId="5" applyNumberFormat="1" applyFont="1" applyFill="1" applyBorder="1"/>
    <xf numFmtId="6" fontId="35" fillId="11" borderId="23" xfId="5" applyNumberFormat="1" applyFont="1" applyFill="1" applyBorder="1"/>
    <xf numFmtId="6" fontId="35" fillId="11" borderId="25" xfId="5" applyNumberFormat="1" applyFont="1" applyFill="1" applyBorder="1"/>
    <xf numFmtId="6" fontId="36" fillId="11" borderId="25" xfId="5" applyNumberFormat="1" applyFont="1" applyFill="1" applyBorder="1"/>
    <xf numFmtId="10" fontId="35" fillId="11" borderId="31" xfId="49" applyNumberFormat="1" applyFont="1" applyFill="1" applyBorder="1"/>
    <xf numFmtId="0" fontId="36" fillId="11" borderId="0" xfId="49" applyFont="1" applyFill="1" applyAlignment="1">
      <alignment horizontal="left" indent="1"/>
    </xf>
    <xf numFmtId="6" fontId="36" fillId="11" borderId="21" xfId="49" applyNumberFormat="1" applyFont="1" applyFill="1" applyBorder="1"/>
    <xf numFmtId="6" fontId="36" fillId="11" borderId="23" xfId="49" applyNumberFormat="1" applyFont="1" applyFill="1" applyBorder="1"/>
    <xf numFmtId="6" fontId="47" fillId="11" borderId="23" xfId="49" applyNumberFormat="1" applyFont="1" applyFill="1" applyBorder="1"/>
    <xf numFmtId="6" fontId="35" fillId="11" borderId="23" xfId="49" applyNumberFormat="1" applyFont="1" applyFill="1" applyBorder="1"/>
    <xf numFmtId="6" fontId="35" fillId="11" borderId="23" xfId="5" applyNumberFormat="1" applyFont="1" applyFill="1" applyBorder="1" applyAlignment="1">
      <alignment horizontal="right"/>
    </xf>
    <xf numFmtId="0" fontId="1" fillId="5" borderId="0" xfId="49" applyFont="1" applyFill="1" applyAlignment="1">
      <alignment vertical="top" wrapText="1"/>
    </xf>
    <xf numFmtId="0" fontId="23" fillId="11" borderId="0" xfId="49" applyFont="1" applyFill="1"/>
    <xf numFmtId="0" fontId="1" fillId="5" borderId="0" xfId="49" applyFont="1" applyFill="1" applyAlignment="1">
      <alignment horizontal="center" vertical="top" wrapText="1"/>
    </xf>
    <xf numFmtId="6" fontId="23" fillId="11" borderId="0" xfId="49" applyNumberFormat="1" applyFont="1" applyFill="1"/>
    <xf numFmtId="0" fontId="54" fillId="5" borderId="0" xfId="49" applyFont="1" applyFill="1"/>
    <xf numFmtId="0" fontId="21" fillId="11" borderId="0" xfId="49" applyFont="1" applyFill="1"/>
    <xf numFmtId="177" fontId="1" fillId="11" borderId="0" xfId="0" applyNumberFormat="1" applyFont="1" applyFill="1"/>
    <xf numFmtId="177" fontId="23" fillId="11" borderId="0" xfId="0" applyNumberFormat="1" applyFont="1" applyFill="1" applyBorder="1"/>
    <xf numFmtId="177" fontId="1" fillId="11" borderId="0" xfId="0" applyNumberFormat="1" applyFont="1" applyFill="1" applyBorder="1"/>
    <xf numFmtId="0" fontId="1" fillId="11" borderId="0" xfId="0" applyFont="1" applyFill="1" applyAlignment="1">
      <alignment horizontal="left"/>
    </xf>
    <xf numFmtId="6" fontId="23" fillId="11" borderId="0" xfId="0" applyNumberFormat="1" applyFont="1" applyFill="1"/>
    <xf numFmtId="0" fontId="1" fillId="11" borderId="0" xfId="0" applyFont="1" applyFill="1" applyAlignment="1">
      <alignment horizontal="right"/>
    </xf>
    <xf numFmtId="9" fontId="1" fillId="11" borderId="0" xfId="0" applyNumberFormat="1" applyFont="1" applyFill="1" applyAlignment="1">
      <alignment horizontal="center"/>
    </xf>
    <xf numFmtId="186" fontId="1" fillId="11" borderId="0" xfId="57" applyNumberFormat="1" applyFont="1" applyFill="1" applyAlignment="1">
      <alignment horizontal="right"/>
    </xf>
    <xf numFmtId="177" fontId="1" fillId="13" borderId="0" xfId="0" applyNumberFormat="1" applyFont="1" applyFill="1"/>
    <xf numFmtId="177" fontId="1" fillId="13" borderId="0" xfId="0" applyNumberFormat="1" applyFont="1" applyFill="1" applyBorder="1"/>
    <xf numFmtId="0" fontId="1" fillId="13" borderId="0" xfId="57" applyFont="1" applyFill="1"/>
    <xf numFmtId="6" fontId="1" fillId="13" borderId="0" xfId="57" applyNumberFormat="1" applyFont="1" applyFill="1"/>
    <xf numFmtId="0" fontId="1" fillId="11" borderId="0" xfId="57" applyFont="1" applyFill="1" applyAlignment="1">
      <alignment horizontal="left" indent="1"/>
    </xf>
    <xf numFmtId="6" fontId="23" fillId="13" borderId="0" xfId="57" applyNumberFormat="1" applyFont="1" applyFill="1"/>
    <xf numFmtId="0" fontId="23" fillId="13" borderId="0" xfId="57" applyFont="1" applyFill="1"/>
    <xf numFmtId="0" fontId="1" fillId="5" borderId="17" xfId="49" applyFont="1" applyFill="1" applyBorder="1"/>
    <xf numFmtId="0" fontId="1" fillId="5" borderId="24" xfId="49" applyFont="1" applyFill="1" applyBorder="1"/>
    <xf numFmtId="0" fontId="1" fillId="5" borderId="5" xfId="49" applyFont="1" applyFill="1" applyBorder="1"/>
    <xf numFmtId="9" fontId="36" fillId="5" borderId="0" xfId="49" applyNumberFormat="1" applyFont="1" applyFill="1"/>
    <xf numFmtId="0" fontId="28" fillId="5" borderId="0" xfId="49" applyFont="1" applyFill="1" applyAlignment="1">
      <alignment horizontal="left"/>
    </xf>
    <xf numFmtId="0" fontId="36" fillId="5" borderId="26" xfId="49" applyFont="1" applyFill="1" applyBorder="1"/>
    <xf numFmtId="0" fontId="57" fillId="5" borderId="32" xfId="49" applyFont="1" applyFill="1" applyBorder="1" applyAlignment="1">
      <alignment horizontal="center" vertical="top" wrapText="1"/>
    </xf>
    <xf numFmtId="0" fontId="57" fillId="5" borderId="32" xfId="56" applyFont="1" applyFill="1" applyBorder="1" applyAlignment="1">
      <alignment horizontal="center" vertical="top" wrapText="1"/>
    </xf>
    <xf numFmtId="0" fontId="57" fillId="5" borderId="28" xfId="49" applyFont="1" applyFill="1" applyBorder="1" applyAlignment="1">
      <alignment horizontal="center" vertical="top" wrapText="1"/>
    </xf>
    <xf numFmtId="9" fontId="36" fillId="5" borderId="0" xfId="56" applyNumberFormat="1" applyFont="1" applyFill="1" applyAlignment="1">
      <alignment horizontal="center"/>
    </xf>
    <xf numFmtId="5" fontId="36" fillId="5" borderId="0" xfId="56" applyNumberFormat="1" applyFont="1" applyFill="1" applyAlignment="1">
      <alignment horizontal="right"/>
    </xf>
    <xf numFmtId="0" fontId="36" fillId="5" borderId="33" xfId="49" applyFont="1" applyFill="1" applyBorder="1" applyAlignment="1">
      <alignment horizontal="center"/>
    </xf>
    <xf numFmtId="0" fontId="36" fillId="5" borderId="0" xfId="49" applyFont="1" applyFill="1" applyBorder="1" applyAlignment="1">
      <alignment horizontal="right"/>
    </xf>
    <xf numFmtId="9" fontId="36" fillId="5" borderId="0" xfId="49" applyNumberFormat="1" applyFont="1" applyFill="1" applyBorder="1"/>
    <xf numFmtId="0" fontId="36" fillId="5" borderId="0" xfId="49" applyFont="1" applyFill="1" applyBorder="1" applyAlignment="1">
      <alignment horizontal="center"/>
    </xf>
    <xf numFmtId="9" fontId="43" fillId="5" borderId="0" xfId="49" applyNumberFormat="1" applyFont="1" applyFill="1" applyBorder="1" applyAlignment="1">
      <alignment horizontal="left"/>
    </xf>
    <xf numFmtId="9" fontId="36" fillId="5" borderId="0" xfId="49" applyNumberFormat="1" applyFont="1" applyFill="1" applyBorder="1" applyAlignment="1">
      <alignment horizontal="center"/>
    </xf>
    <xf numFmtId="9" fontId="43" fillId="5" borderId="0" xfId="49" applyNumberFormat="1" applyFont="1" applyFill="1" applyBorder="1" applyAlignment="1">
      <alignment horizontal="center"/>
    </xf>
    <xf numFmtId="9" fontId="36" fillId="5" borderId="34" xfId="49" applyNumberFormat="1" applyFont="1" applyFill="1" applyBorder="1" applyAlignment="1">
      <alignment horizontal="center"/>
    </xf>
    <xf numFmtId="9" fontId="36" fillId="5" borderId="5" xfId="56" applyNumberFormat="1" applyFont="1" applyFill="1" applyBorder="1" applyAlignment="1">
      <alignment horizontal="center"/>
    </xf>
    <xf numFmtId="5" fontId="36" fillId="5" borderId="5" xfId="56" applyNumberFormat="1" applyFont="1" applyFill="1" applyBorder="1" applyAlignment="1">
      <alignment horizontal="right"/>
    </xf>
    <xf numFmtId="0" fontId="36" fillId="5" borderId="27" xfId="49" applyFont="1" applyFill="1" applyBorder="1" applyAlignment="1">
      <alignment horizontal="center"/>
    </xf>
    <xf numFmtId="0" fontId="36" fillId="5" borderId="35" xfId="49" applyFont="1" applyFill="1" applyBorder="1"/>
    <xf numFmtId="0" fontId="36" fillId="5" borderId="35" xfId="49" applyFont="1" applyFill="1" applyBorder="1" applyAlignment="1">
      <alignment horizontal="center"/>
    </xf>
    <xf numFmtId="9" fontId="43" fillId="5" borderId="35" xfId="49" applyNumberFormat="1" applyFont="1" applyFill="1" applyBorder="1" applyAlignment="1">
      <alignment horizontal="left"/>
    </xf>
    <xf numFmtId="9" fontId="36" fillId="5" borderId="35" xfId="49" applyNumberFormat="1" applyFont="1" applyFill="1" applyBorder="1" applyAlignment="1">
      <alignment horizontal="center"/>
    </xf>
    <xf numFmtId="9" fontId="43" fillId="5" borderId="35" xfId="49" applyNumberFormat="1" applyFont="1" applyFill="1" applyBorder="1" applyAlignment="1">
      <alignment horizontal="center"/>
    </xf>
    <xf numFmtId="9" fontId="36" fillId="5" borderId="29" xfId="49" applyNumberFormat="1" applyFont="1" applyFill="1" applyBorder="1" applyAlignment="1">
      <alignment horizontal="center"/>
    </xf>
    <xf numFmtId="0" fontId="35" fillId="5" borderId="5" xfId="49" applyFont="1" applyFill="1" applyBorder="1" applyAlignment="1">
      <alignment horizontal="center"/>
    </xf>
    <xf numFmtId="165" fontId="35" fillId="5" borderId="0" xfId="49" applyNumberFormat="1" applyFont="1" applyFill="1" applyAlignment="1">
      <alignment horizontal="center"/>
    </xf>
    <xf numFmtId="17" fontId="36" fillId="5" borderId="4" xfId="49" applyNumberFormat="1" applyFont="1" applyFill="1" applyBorder="1" applyAlignment="1">
      <alignment horizontal="center"/>
    </xf>
    <xf numFmtId="9" fontId="75" fillId="5" borderId="0" xfId="49" applyNumberFormat="1" applyFont="1" applyFill="1"/>
    <xf numFmtId="6" fontId="75" fillId="5" borderId="0" xfId="49" applyNumberFormat="1" applyFont="1" applyFill="1" applyBorder="1"/>
    <xf numFmtId="6" fontId="41" fillId="5" borderId="0" xfId="82" applyNumberFormat="1" applyFont="1" applyFill="1" applyBorder="1" applyAlignment="1">
      <alignment horizontal="center"/>
    </xf>
    <xf numFmtId="10" fontId="35" fillId="5" borderId="0" xfId="49" applyNumberFormat="1" applyFont="1" applyFill="1" applyAlignment="1">
      <alignment horizontal="right"/>
    </xf>
    <xf numFmtId="185" fontId="35" fillId="5" borderId="23" xfId="5" applyNumberFormat="1" applyFont="1" applyFill="1" applyBorder="1"/>
    <xf numFmtId="185" fontId="36" fillId="5" borderId="21" xfId="49" applyNumberFormat="1" applyFont="1" applyFill="1" applyBorder="1"/>
    <xf numFmtId="185" fontId="36" fillId="5" borderId="23" xfId="49" applyNumberFormat="1" applyFont="1" applyFill="1" applyBorder="1"/>
    <xf numFmtId="185" fontId="47" fillId="5" borderId="23" xfId="49" applyNumberFormat="1" applyFont="1" applyFill="1" applyBorder="1"/>
    <xf numFmtId="185" fontId="35" fillId="5" borderId="23" xfId="49" applyNumberFormat="1" applyFont="1" applyFill="1" applyBorder="1"/>
    <xf numFmtId="185" fontId="35" fillId="5" borderId="23" xfId="5" applyNumberFormat="1" applyFont="1" applyFill="1" applyBorder="1" applyAlignment="1">
      <alignment horizontal="right"/>
    </xf>
    <xf numFmtId="176" fontId="36" fillId="5" borderId="0" xfId="49" applyNumberFormat="1" applyFont="1" applyFill="1"/>
    <xf numFmtId="9" fontId="1" fillId="5" borderId="0" xfId="82" applyFont="1" applyFill="1" applyAlignment="1">
      <alignment horizontal="center"/>
    </xf>
    <xf numFmtId="6" fontId="36" fillId="5" borderId="0" xfId="56" applyNumberFormat="1" applyFont="1" applyFill="1" applyAlignment="1">
      <alignment horizontal="right"/>
    </xf>
    <xf numFmtId="6" fontId="36" fillId="5" borderId="5" xfId="56" applyNumberFormat="1" applyFont="1" applyFill="1" applyBorder="1" applyAlignment="1">
      <alignment horizontal="right"/>
    </xf>
    <xf numFmtId="6" fontId="35" fillId="5" borderId="0" xfId="49" applyNumberFormat="1" applyFont="1" applyFill="1" applyAlignment="1">
      <alignment horizontal="right"/>
    </xf>
    <xf numFmtId="9" fontId="57" fillId="5" borderId="0" xfId="49" applyNumberFormat="1" applyFont="1" applyFill="1"/>
    <xf numFmtId="10" fontId="42" fillId="5" borderId="0" xfId="49" applyNumberFormat="1" applyFont="1" applyFill="1" applyBorder="1"/>
    <xf numFmtId="10" fontId="43" fillId="5" borderId="0" xfId="49" applyNumberFormat="1" applyFont="1" applyFill="1" applyBorder="1"/>
    <xf numFmtId="10" fontId="35" fillId="5" borderId="17" xfId="49" applyNumberFormat="1" applyFont="1" applyFill="1" applyBorder="1"/>
    <xf numFmtId="0" fontId="36" fillId="5" borderId="5" xfId="49" applyFont="1" applyFill="1" applyBorder="1"/>
    <xf numFmtId="0" fontId="35" fillId="5" borderId="0" xfId="49" applyFont="1" applyFill="1" applyBorder="1"/>
    <xf numFmtId="166" fontId="35" fillId="5" borderId="0" xfId="49" applyNumberFormat="1" applyFont="1" applyFill="1" applyBorder="1"/>
    <xf numFmtId="0" fontId="48" fillId="5" borderId="29" xfId="49" applyFont="1" applyFill="1" applyBorder="1"/>
    <xf numFmtId="9" fontId="1" fillId="5" borderId="0" xfId="82" applyFont="1" applyFill="1"/>
    <xf numFmtId="0" fontId="23" fillId="5" borderId="0" xfId="49" applyFont="1" applyFill="1" applyAlignment="1">
      <alignment horizontal="center" vertical="top" wrapText="1"/>
    </xf>
    <xf numFmtId="0" fontId="1" fillId="5" borderId="4" xfId="49" applyFont="1" applyFill="1" applyBorder="1"/>
    <xf numFmtId="6" fontId="1" fillId="5" borderId="4" xfId="49" applyNumberFormat="1" applyFont="1" applyFill="1" applyBorder="1"/>
    <xf numFmtId="6" fontId="23" fillId="5" borderId="4" xfId="49" applyNumberFormat="1" applyFont="1" applyFill="1" applyBorder="1"/>
    <xf numFmtId="0" fontId="24" fillId="5" borderId="4" xfId="49" applyFont="1" applyFill="1" applyBorder="1" applyAlignment="1">
      <alignment horizontal="left" indent="1"/>
    </xf>
    <xf numFmtId="10" fontId="24" fillId="5" borderId="4" xfId="82" applyNumberFormat="1" applyFont="1" applyFill="1" applyBorder="1"/>
    <xf numFmtId="196" fontId="1" fillId="5" borderId="4" xfId="49" applyNumberFormat="1" applyFont="1" applyFill="1" applyBorder="1"/>
    <xf numFmtId="196" fontId="23" fillId="5" borderId="4" xfId="49" applyNumberFormat="1" applyFont="1" applyFill="1" applyBorder="1"/>
    <xf numFmtId="9" fontId="1" fillId="5" borderId="4" xfId="49" applyNumberFormat="1" applyFont="1" applyFill="1" applyBorder="1"/>
    <xf numFmtId="9" fontId="23" fillId="5" borderId="4" xfId="49" applyNumberFormat="1" applyFont="1" applyFill="1" applyBorder="1"/>
    <xf numFmtId="0" fontId="1" fillId="5" borderId="4" xfId="49" applyFont="1" applyFill="1" applyBorder="1" applyAlignment="1">
      <alignment vertical="top" wrapText="1"/>
    </xf>
    <xf numFmtId="0" fontId="1" fillId="11" borderId="4" xfId="49" applyFont="1" applyFill="1" applyBorder="1" applyAlignment="1">
      <alignment vertical="top"/>
    </xf>
    <xf numFmtId="0" fontId="1" fillId="11" borderId="4" xfId="49" applyFont="1" applyFill="1" applyBorder="1"/>
    <xf numFmtId="0" fontId="23" fillId="11" borderId="4" xfId="49" applyFont="1" applyFill="1" applyBorder="1" applyAlignment="1">
      <alignment vertical="top"/>
    </xf>
    <xf numFmtId="0" fontId="55" fillId="5" borderId="0" xfId="49" applyFont="1" applyFill="1"/>
    <xf numFmtId="0" fontId="1" fillId="5" borderId="20" xfId="49" applyFont="1" applyFill="1" applyBorder="1" applyAlignment="1">
      <alignment horizontal="center" vertical="top" wrapText="1"/>
    </xf>
    <xf numFmtId="0" fontId="1" fillId="5" borderId="17" xfId="49" applyFont="1" applyFill="1" applyBorder="1" applyAlignment="1">
      <alignment horizontal="center" vertical="top" wrapText="1"/>
    </xf>
    <xf numFmtId="0" fontId="1" fillId="5" borderId="21" xfId="49" applyFont="1" applyFill="1" applyBorder="1" applyAlignment="1">
      <alignment horizontal="center" vertical="top" wrapText="1"/>
    </xf>
    <xf numFmtId="0" fontId="1" fillId="5" borderId="0" xfId="49" applyFont="1" applyFill="1" applyAlignment="1">
      <alignment horizontal="center" wrapText="1"/>
    </xf>
    <xf numFmtId="0" fontId="1" fillId="5" borderId="22" xfId="49" applyFont="1" applyFill="1" applyBorder="1" applyAlignment="1">
      <alignment horizontal="center"/>
    </xf>
    <xf numFmtId="6" fontId="1" fillId="5" borderId="0" xfId="49" applyNumberFormat="1" applyFont="1" applyFill="1" applyBorder="1"/>
    <xf numFmtId="9" fontId="1" fillId="5" borderId="0" xfId="82" applyFont="1" applyFill="1" applyBorder="1" applyAlignment="1">
      <alignment horizontal="center"/>
    </xf>
    <xf numFmtId="6" fontId="1" fillId="5" borderId="23" xfId="49" applyNumberFormat="1" applyFont="1" applyFill="1" applyBorder="1"/>
    <xf numFmtId="6" fontId="1" fillId="5" borderId="5" xfId="49" applyNumberFormat="1" applyFont="1" applyFill="1" applyBorder="1"/>
    <xf numFmtId="6" fontId="1" fillId="5" borderId="25" xfId="49" applyNumberFormat="1" applyFont="1" applyFill="1" applyBorder="1"/>
    <xf numFmtId="0" fontId="23" fillId="5" borderId="22" xfId="49" applyFont="1" applyFill="1" applyBorder="1" applyAlignment="1">
      <alignment horizontal="center"/>
    </xf>
    <xf numFmtId="0" fontId="23" fillId="5" borderId="0" xfId="49" applyFont="1" applyFill="1" applyBorder="1"/>
    <xf numFmtId="6" fontId="23" fillId="5" borderId="0" xfId="49" applyNumberFormat="1" applyFont="1" applyFill="1" applyBorder="1"/>
    <xf numFmtId="9" fontId="23" fillId="5" borderId="0" xfId="82" applyFont="1" applyFill="1" applyBorder="1" applyAlignment="1">
      <alignment horizontal="center"/>
    </xf>
    <xf numFmtId="6" fontId="23" fillId="5" borderId="23" xfId="49" applyNumberFormat="1" applyFont="1" applyFill="1" applyBorder="1"/>
    <xf numFmtId="0" fontId="1" fillId="5" borderId="22" xfId="49" applyFont="1" applyFill="1" applyBorder="1" applyAlignment="1">
      <alignment horizontal="right"/>
    </xf>
    <xf numFmtId="0" fontId="23" fillId="5" borderId="22" xfId="49" applyFont="1" applyFill="1" applyBorder="1" applyAlignment="1">
      <alignment horizontal="right"/>
    </xf>
    <xf numFmtId="0" fontId="23" fillId="5" borderId="24" xfId="49" applyFont="1" applyFill="1" applyBorder="1" applyAlignment="1">
      <alignment horizontal="right"/>
    </xf>
    <xf numFmtId="0" fontId="23" fillId="5" borderId="5" xfId="49" applyFont="1" applyFill="1" applyBorder="1"/>
    <xf numFmtId="6" fontId="23" fillId="5" borderId="5" xfId="49" applyNumberFormat="1" applyFont="1" applyFill="1" applyBorder="1"/>
    <xf numFmtId="9" fontId="23" fillId="5" borderId="5" xfId="82" applyFont="1" applyFill="1" applyBorder="1" applyAlignment="1">
      <alignment horizontal="center"/>
    </xf>
    <xf numFmtId="6" fontId="23" fillId="5" borderId="25" xfId="49" applyNumberFormat="1" applyFont="1" applyFill="1" applyBorder="1"/>
    <xf numFmtId="0" fontId="1" fillId="5" borderId="22" xfId="49" applyFont="1" applyFill="1" applyBorder="1"/>
    <xf numFmtId="0" fontId="1" fillId="5" borderId="20" xfId="49" applyFont="1" applyFill="1" applyBorder="1"/>
    <xf numFmtId="177" fontId="1" fillId="5" borderId="21" xfId="49" applyNumberFormat="1" applyFont="1" applyFill="1" applyBorder="1"/>
    <xf numFmtId="177" fontId="1" fillId="5" borderId="25" xfId="49" applyNumberFormat="1" applyFont="1" applyFill="1" applyBorder="1"/>
    <xf numFmtId="0" fontId="76" fillId="11" borderId="0" xfId="49" applyFont="1" applyFill="1"/>
    <xf numFmtId="0" fontId="76" fillId="11" borderId="0" xfId="49" applyFont="1" applyFill="1" applyAlignment="1">
      <alignment horizontal="left" indent="1"/>
    </xf>
    <xf numFmtId="15" fontId="76" fillId="11" borderId="0" xfId="51" applyNumberFormat="1" applyFont="1" applyFill="1" applyBorder="1" applyAlignment="1">
      <alignment horizontal="left" vertical="top" indent="1"/>
    </xf>
    <xf numFmtId="177" fontId="72" fillId="11" borderId="0" xfId="0" applyNumberFormat="1" applyFont="1" applyFill="1" applyAlignment="1">
      <alignment horizontal="center"/>
    </xf>
    <xf numFmtId="0" fontId="23" fillId="14" borderId="0" xfId="0" applyFont="1" applyFill="1"/>
    <xf numFmtId="0" fontId="77" fillId="15" borderId="0" xfId="0" applyFont="1" applyFill="1" applyAlignment="1">
      <alignment horizontal="left"/>
    </xf>
    <xf numFmtId="0" fontId="77" fillId="16" borderId="0" xfId="0" applyFont="1" applyFill="1" applyAlignment="1">
      <alignment horizontal="left"/>
    </xf>
    <xf numFmtId="0" fontId="35" fillId="12" borderId="0" xfId="49" applyFont="1" applyFill="1" applyBorder="1" applyAlignment="1">
      <alignment horizontal="center"/>
    </xf>
    <xf numFmtId="0" fontId="36" fillId="12" borderId="0" xfId="49" applyFont="1" applyFill="1" applyBorder="1"/>
    <xf numFmtId="6" fontId="35" fillId="12" borderId="0" xfId="49" applyNumberFormat="1" applyFont="1" applyFill="1"/>
    <xf numFmtId="6" fontId="35" fillId="12" borderId="5" xfId="49" applyNumberFormat="1" applyFont="1" applyFill="1" applyBorder="1"/>
    <xf numFmtId="6" fontId="36" fillId="12" borderId="0" xfId="49" applyNumberFormat="1" applyFont="1" applyFill="1"/>
    <xf numFmtId="6" fontId="41" fillId="12" borderId="0" xfId="49" applyNumberFormat="1" applyFont="1" applyFill="1"/>
    <xf numFmtId="6" fontId="36" fillId="12" borderId="17" xfId="49" applyNumberFormat="1" applyFont="1" applyFill="1" applyBorder="1"/>
    <xf numFmtId="6" fontId="35" fillId="12" borderId="0" xfId="49" applyNumberFormat="1" applyFont="1" applyFill="1" applyBorder="1"/>
    <xf numFmtId="6" fontId="36" fillId="12" borderId="0" xfId="49" applyNumberFormat="1" applyFont="1" applyFill="1" applyBorder="1"/>
    <xf numFmtId="0" fontId="35" fillId="14" borderId="0" xfId="0" applyFont="1" applyFill="1"/>
    <xf numFmtId="0" fontId="78" fillId="15" borderId="0" xfId="0" applyFont="1" applyFill="1" applyAlignment="1">
      <alignment horizontal="left"/>
    </xf>
    <xf numFmtId="0" fontId="78" fillId="16" borderId="0" xfId="0" applyFont="1" applyFill="1" applyAlignment="1">
      <alignment horizontal="left"/>
    </xf>
    <xf numFmtId="177" fontId="72" fillId="11" borderId="0" xfId="0" applyNumberFormat="1" applyFont="1" applyFill="1" applyAlignment="1">
      <alignment horizontal="center"/>
    </xf>
    <xf numFmtId="0" fontId="23" fillId="12" borderId="0" xfId="0" applyFont="1" applyFill="1" applyAlignment="1">
      <alignment horizontal="center"/>
    </xf>
    <xf numFmtId="6" fontId="23" fillId="12" borderId="0" xfId="0" applyNumberFormat="1" applyFont="1" applyFill="1" applyAlignment="1">
      <alignment horizontal="center"/>
    </xf>
    <xf numFmtId="0" fontId="79" fillId="11" borderId="0" xfId="49" applyFont="1" applyFill="1"/>
    <xf numFmtId="0" fontId="79" fillId="11" borderId="0" xfId="49" applyFont="1" applyFill="1" applyBorder="1" applyAlignment="1">
      <alignment horizontal="center"/>
    </xf>
    <xf numFmtId="6" fontId="0" fillId="11" borderId="0" xfId="0" applyNumberFormat="1" applyFill="1"/>
    <xf numFmtId="6" fontId="35" fillId="12" borderId="17" xfId="49" applyNumberFormat="1" applyFont="1" applyFill="1" applyBorder="1"/>
    <xf numFmtId="43" fontId="48" fillId="11" borderId="0" xfId="49" applyNumberFormat="1" applyFont="1" applyFill="1" applyAlignment="1">
      <alignment horizontal="right"/>
    </xf>
    <xf numFmtId="10" fontId="36" fillId="11" borderId="0" xfId="5" applyNumberFormat="1" applyFont="1" applyFill="1"/>
    <xf numFmtId="197" fontId="36" fillId="11" borderId="0" xfId="5" applyNumberFormat="1" applyFont="1" applyFill="1"/>
    <xf numFmtId="6" fontId="36" fillId="11" borderId="0" xfId="49" applyNumberFormat="1" applyFont="1" applyFill="1" applyAlignment="1">
      <alignment horizontal="right"/>
    </xf>
    <xf numFmtId="6" fontId="41" fillId="11" borderId="0" xfId="49" applyNumberFormat="1" applyFont="1" applyFill="1" applyAlignment="1">
      <alignment horizontal="right"/>
    </xf>
    <xf numFmtId="9" fontId="36" fillId="11" borderId="0" xfId="49" applyNumberFormat="1" applyFont="1" applyFill="1"/>
    <xf numFmtId="9" fontId="36" fillId="11" borderId="0" xfId="79" applyFont="1" applyFill="1" applyAlignment="1">
      <alignment horizontal="center"/>
    </xf>
    <xf numFmtId="0" fontId="80" fillId="11" borderId="0" xfId="49" applyFont="1" applyFill="1" applyAlignment="1">
      <alignment horizontal="left" indent="2"/>
    </xf>
    <xf numFmtId="6" fontId="36" fillId="11" borderId="0" xfId="49" applyNumberFormat="1" applyFont="1" applyFill="1" applyAlignment="1">
      <alignment horizontal="center"/>
    </xf>
    <xf numFmtId="6" fontId="35" fillId="11" borderId="0" xfId="49" applyNumberFormat="1" applyFont="1" applyFill="1" applyAlignment="1">
      <alignment horizontal="center"/>
    </xf>
    <xf numFmtId="6" fontId="57" fillId="11" borderId="0" xfId="49" applyNumberFormat="1" applyFont="1" applyFill="1" applyAlignment="1">
      <alignment horizontal="center"/>
    </xf>
    <xf numFmtId="0" fontId="36" fillId="11" borderId="0" xfId="49" applyFont="1" applyFill="1" applyAlignment="1">
      <alignment horizontal="left" indent="13"/>
    </xf>
    <xf numFmtId="0" fontId="35" fillId="11" borderId="0" xfId="49" applyFont="1" applyFill="1" applyAlignment="1">
      <alignment horizontal="left" indent="13"/>
    </xf>
    <xf numFmtId="0" fontId="50" fillId="11" borderId="0" xfId="49" applyFont="1" applyFill="1" applyAlignment="1">
      <alignment horizontal="right"/>
    </xf>
    <xf numFmtId="9" fontId="57" fillId="11" borderId="0" xfId="79" applyFont="1" applyFill="1" applyAlignment="1">
      <alignment horizontal="center"/>
    </xf>
    <xf numFmtId="9" fontId="35" fillId="11" borderId="0" xfId="49" applyNumberFormat="1" applyFont="1" applyFill="1" applyAlignment="1">
      <alignment horizontal="center"/>
    </xf>
    <xf numFmtId="0" fontId="81" fillId="5" borderId="0" xfId="49" applyFont="1" applyFill="1" applyAlignment="1">
      <alignment horizontal="center"/>
    </xf>
    <xf numFmtId="0" fontId="82" fillId="5" borderId="20" xfId="49" applyFont="1" applyFill="1" applyBorder="1"/>
    <xf numFmtId="0" fontId="79" fillId="5" borderId="17" xfId="49" applyFont="1" applyFill="1" applyBorder="1"/>
    <xf numFmtId="0" fontId="79" fillId="5" borderId="21" xfId="49" applyFont="1" applyFill="1" applyBorder="1"/>
    <xf numFmtId="0" fontId="79" fillId="5" borderId="24" xfId="49" applyFont="1" applyFill="1" applyBorder="1"/>
    <xf numFmtId="0" fontId="79" fillId="5" borderId="5" xfId="49" applyFont="1" applyFill="1" applyBorder="1"/>
    <xf numFmtId="0" fontId="79" fillId="5" borderId="25" xfId="49" applyFont="1" applyFill="1" applyBorder="1"/>
    <xf numFmtId="0" fontId="79" fillId="11" borderId="0" xfId="49" applyFont="1" applyFill="1" applyBorder="1"/>
    <xf numFmtId="0" fontId="83" fillId="5" borderId="20" xfId="49" applyFont="1" applyFill="1" applyBorder="1"/>
    <xf numFmtId="0" fontId="79" fillId="12" borderId="17" xfId="49" applyFont="1" applyFill="1" applyBorder="1"/>
    <xf numFmtId="0" fontId="79" fillId="12" borderId="21" xfId="49" applyFont="1" applyFill="1" applyBorder="1"/>
    <xf numFmtId="0" fontId="79" fillId="12" borderId="5" xfId="49" applyFont="1" applyFill="1" applyBorder="1"/>
    <xf numFmtId="0" fontId="79" fillId="12" borderId="25" xfId="49" applyFont="1" applyFill="1" applyBorder="1"/>
    <xf numFmtId="0" fontId="79" fillId="5" borderId="5" xfId="49" applyFont="1" applyFill="1" applyBorder="1" applyAlignment="1">
      <alignment horizontal="right"/>
    </xf>
    <xf numFmtId="185" fontId="75" fillId="11" borderId="0" xfId="56" applyNumberFormat="1" applyFont="1" applyFill="1" applyAlignment="1">
      <alignment horizontal="left" vertical="top" wrapText="1"/>
    </xf>
    <xf numFmtId="6" fontId="72" fillId="11" borderId="0" xfId="52" applyNumberFormat="1" applyFont="1" applyFill="1"/>
    <xf numFmtId="6" fontId="69" fillId="11" borderId="0" xfId="52" applyNumberFormat="1" applyFill="1" applyBorder="1"/>
    <xf numFmtId="6" fontId="72" fillId="11" borderId="23" xfId="52" applyNumberFormat="1" applyFont="1" applyFill="1" applyBorder="1"/>
    <xf numFmtId="6" fontId="69" fillId="11" borderId="5" xfId="52" applyNumberFormat="1" applyFill="1" applyBorder="1"/>
    <xf numFmtId="6" fontId="74" fillId="11" borderId="28" xfId="52" applyNumberFormat="1" applyFont="1" applyFill="1" applyBorder="1"/>
    <xf numFmtId="6" fontId="74" fillId="11" borderId="29" xfId="52" applyNumberFormat="1" applyFont="1" applyFill="1" applyBorder="1"/>
    <xf numFmtId="9" fontId="74" fillId="11" borderId="0" xfId="79" applyFont="1" applyFill="1" applyAlignment="1">
      <alignment horizontal="center"/>
    </xf>
    <xf numFmtId="177" fontId="23" fillId="11" borderId="0" xfId="52" applyNumberFormat="1" applyFont="1" applyFill="1"/>
    <xf numFmtId="0" fontId="36" fillId="11" borderId="0" xfId="0" applyFont="1" applyFill="1"/>
    <xf numFmtId="9" fontId="36" fillId="11" borderId="0" xfId="0" applyNumberFormat="1" applyFont="1" applyFill="1" applyAlignment="1">
      <alignment horizontal="center"/>
    </xf>
    <xf numFmtId="0" fontId="78" fillId="11" borderId="0" xfId="0" applyFont="1" applyFill="1"/>
    <xf numFmtId="0" fontId="84" fillId="11" borderId="0" xfId="0" applyFont="1" applyFill="1"/>
    <xf numFmtId="6" fontId="36" fillId="13" borderId="17" xfId="5" applyNumberFormat="1" applyFont="1" applyFill="1" applyBorder="1"/>
    <xf numFmtId="6" fontId="36" fillId="13" borderId="21" xfId="5" applyNumberFormat="1" applyFont="1" applyFill="1" applyBorder="1"/>
    <xf numFmtId="6" fontId="36" fillId="13" borderId="0" xfId="5" applyNumberFormat="1" applyFont="1" applyFill="1" applyBorder="1"/>
    <xf numFmtId="6" fontId="36" fillId="13" borderId="23" xfId="5" applyNumberFormat="1" applyFont="1" applyFill="1" applyBorder="1"/>
    <xf numFmtId="6" fontId="36" fillId="13" borderId="5" xfId="5" applyNumberFormat="1" applyFont="1" applyFill="1" applyBorder="1"/>
    <xf numFmtId="6" fontId="36" fillId="13" borderId="25" xfId="5" applyNumberFormat="1" applyFont="1" applyFill="1" applyBorder="1"/>
    <xf numFmtId="6" fontId="35" fillId="13" borderId="0" xfId="5" applyNumberFormat="1" applyFont="1" applyFill="1" applyBorder="1"/>
    <xf numFmtId="6" fontId="35" fillId="13" borderId="23" xfId="5" applyNumberFormat="1" applyFont="1" applyFill="1" applyBorder="1"/>
    <xf numFmtId="6" fontId="35" fillId="13" borderId="5" xfId="5" applyNumberFormat="1" applyFont="1" applyFill="1" applyBorder="1"/>
    <xf numFmtId="6" fontId="35" fillId="13" borderId="25" xfId="5" applyNumberFormat="1" applyFont="1" applyFill="1" applyBorder="1"/>
    <xf numFmtId="185" fontId="75" fillId="11" borderId="0" xfId="56" applyNumberFormat="1" applyFont="1" applyFill="1" applyAlignment="1">
      <alignment horizontal="left" vertical="top" wrapText="1"/>
    </xf>
    <xf numFmtId="0" fontId="35" fillId="5" borderId="0" xfId="49" applyFont="1" applyFill="1" applyBorder="1" applyAlignment="1">
      <alignment horizontal="center"/>
    </xf>
    <xf numFmtId="17" fontId="36" fillId="5" borderId="0" xfId="49" applyNumberFormat="1" applyFont="1" applyFill="1" applyBorder="1" applyAlignment="1">
      <alignment horizontal="center"/>
    </xf>
    <xf numFmtId="175" fontId="35" fillId="11" borderId="0" xfId="49" applyNumberFormat="1" applyFont="1" applyFill="1" applyBorder="1"/>
    <xf numFmtId="17" fontId="36" fillId="5" borderId="36" xfId="49" applyNumberFormat="1" applyFont="1" applyFill="1" applyBorder="1" applyAlignment="1">
      <alignment horizontal="center"/>
    </xf>
    <xf numFmtId="6" fontId="36" fillId="5" borderId="0" xfId="5" quotePrefix="1" applyNumberFormat="1" applyFont="1" applyFill="1"/>
    <xf numFmtId="202" fontId="35" fillId="11" borderId="0" xfId="49" applyNumberFormat="1" applyFont="1" applyFill="1" applyBorder="1"/>
    <xf numFmtId="204" fontId="36" fillId="5" borderId="36" xfId="49" applyNumberFormat="1" applyFont="1" applyFill="1" applyBorder="1" applyAlignment="1">
      <alignment horizontal="center"/>
    </xf>
    <xf numFmtId="204" fontId="36" fillId="5" borderId="4" xfId="49" applyNumberFormat="1" applyFont="1" applyFill="1" applyBorder="1" applyAlignment="1">
      <alignment horizontal="center"/>
    </xf>
    <xf numFmtId="0" fontId="85" fillId="17" borderId="0" xfId="49" applyFont="1" applyFill="1" applyAlignment="1">
      <alignment horizontal="left" indent="3"/>
    </xf>
    <xf numFmtId="6" fontId="50" fillId="11" borderId="0" xfId="49" applyNumberFormat="1" applyFont="1" applyFill="1"/>
    <xf numFmtId="10" fontId="35" fillId="11" borderId="0" xfId="49" applyNumberFormat="1" applyFont="1" applyFill="1"/>
    <xf numFmtId="198" fontId="36" fillId="5" borderId="0" xfId="79" applyNumberFormat="1" applyFont="1" applyFill="1" applyBorder="1" applyAlignment="1">
      <alignment horizontal="center"/>
    </xf>
    <xf numFmtId="198" fontId="36" fillId="11" borderId="0" xfId="49" applyNumberFormat="1" applyFont="1" applyFill="1" applyAlignment="1">
      <alignment horizontal="center"/>
    </xf>
    <xf numFmtId="0" fontId="26" fillId="5" borderId="0" xfId="49" applyFont="1" applyFill="1" applyBorder="1" applyAlignment="1">
      <alignment horizontal="center"/>
    </xf>
    <xf numFmtId="0" fontId="30" fillId="11" borderId="0" xfId="49" applyFont="1" applyFill="1" applyAlignment="1">
      <alignment horizontal="center"/>
    </xf>
    <xf numFmtId="0" fontId="31" fillId="5" borderId="0" xfId="49" applyFont="1" applyFill="1" applyAlignment="1">
      <alignment horizontal="center"/>
    </xf>
    <xf numFmtId="0" fontId="35" fillId="0" borderId="0" xfId="0" applyFont="1" applyAlignment="1">
      <alignment horizontal="center" vertical="center" wrapText="1"/>
    </xf>
    <xf numFmtId="177" fontId="72" fillId="11" borderId="0" xfId="0" applyNumberFormat="1" applyFont="1" applyFill="1" applyAlignment="1">
      <alignment horizontal="center"/>
    </xf>
    <xf numFmtId="0" fontId="86" fillId="5" borderId="0" xfId="49" applyFont="1" applyFill="1" applyAlignment="1">
      <alignment horizontal="center"/>
    </xf>
    <xf numFmtId="0" fontId="79" fillId="11" borderId="0" xfId="49" applyFont="1" applyFill="1" applyAlignment="1">
      <alignment horizontal="center"/>
    </xf>
    <xf numFmtId="0" fontId="79" fillId="11" borderId="5" xfId="49" applyFont="1" applyFill="1" applyBorder="1" applyAlignment="1">
      <alignment horizontal="center"/>
    </xf>
    <xf numFmtId="0" fontId="79" fillId="5" borderId="24" xfId="49" applyFont="1" applyFill="1" applyBorder="1" applyAlignment="1">
      <alignment horizontal="right"/>
    </xf>
    <xf numFmtId="0" fontId="79" fillId="5" borderId="5" xfId="49" applyFont="1" applyFill="1" applyBorder="1" applyAlignment="1">
      <alignment horizontal="right"/>
    </xf>
    <xf numFmtId="0" fontId="57" fillId="5" borderId="32" xfId="49" applyFont="1" applyFill="1" applyBorder="1" applyAlignment="1">
      <alignment horizontal="center" vertical="top"/>
    </xf>
    <xf numFmtId="185" fontId="75" fillId="11" borderId="0" xfId="56" applyNumberFormat="1" applyFont="1" applyFill="1" applyAlignment="1">
      <alignment horizontal="left" vertical="top" wrapText="1"/>
    </xf>
    <xf numFmtId="0" fontId="22" fillId="5" borderId="0" xfId="49" applyFont="1" applyFill="1" applyAlignment="1">
      <alignment horizontal="center"/>
    </xf>
    <xf numFmtId="0" fontId="85" fillId="17" borderId="37" xfId="49" applyFont="1" applyFill="1" applyBorder="1" applyAlignment="1">
      <alignment horizontal="center"/>
    </xf>
    <xf numFmtId="0" fontId="85" fillId="17" borderId="38" xfId="49" applyFont="1" applyFill="1" applyBorder="1" applyAlignment="1">
      <alignment horizontal="center"/>
    </xf>
    <xf numFmtId="0" fontId="85" fillId="17" borderId="36" xfId="49" applyFont="1" applyFill="1" applyBorder="1" applyAlignment="1">
      <alignment horizontal="center"/>
    </xf>
    <xf numFmtId="200" fontId="87" fillId="11" borderId="0" xfId="79" applyNumberFormat="1" applyFont="1" applyFill="1" applyBorder="1" applyAlignment="1">
      <alignment horizontal="center"/>
    </xf>
    <xf numFmtId="205" fontId="87" fillId="11" borderId="0" xfId="49" applyNumberFormat="1" applyFont="1" applyFill="1" applyBorder="1" applyAlignment="1">
      <alignment horizontal="center"/>
    </xf>
    <xf numFmtId="201" fontId="87" fillId="11" borderId="0" xfId="79" quotePrefix="1" applyNumberFormat="1" applyFont="1" applyFill="1" applyBorder="1" applyAlignment="1">
      <alignment horizontal="center"/>
    </xf>
    <xf numFmtId="201" fontId="87" fillId="11" borderId="0" xfId="79" applyNumberFormat="1" applyFont="1" applyFill="1" applyBorder="1" applyAlignment="1">
      <alignment horizontal="center"/>
    </xf>
    <xf numFmtId="203" fontId="87" fillId="11" borderId="0" xfId="79" quotePrefix="1" applyNumberFormat="1" applyFont="1" applyFill="1" applyBorder="1" applyAlignment="1">
      <alignment horizontal="center"/>
    </xf>
    <xf numFmtId="203" fontId="87" fillId="11" borderId="0" xfId="79" applyNumberFormat="1" applyFont="1" applyFill="1" applyBorder="1" applyAlignment="1">
      <alignment horizontal="center"/>
    </xf>
    <xf numFmtId="0" fontId="1" fillId="11" borderId="0" xfId="53" applyFont="1" applyFill="1" applyAlignment="1">
      <alignment horizontal="center" vertical="center"/>
    </xf>
    <xf numFmtId="0" fontId="24" fillId="11" borderId="0" xfId="53" applyFont="1" applyFill="1" applyBorder="1" applyAlignment="1">
      <alignment horizontal="center" vertical="center" wrapText="1"/>
    </xf>
    <xf numFmtId="0" fontId="24" fillId="11" borderId="0" xfId="53" applyFont="1" applyFill="1" applyBorder="1" applyAlignment="1">
      <alignment horizontal="right" vertical="center" wrapText="1"/>
    </xf>
    <xf numFmtId="0" fontId="24" fillId="11" borderId="0" xfId="53" applyFont="1" applyFill="1" applyBorder="1" applyAlignment="1">
      <alignment horizontal="right" vertical="center"/>
    </xf>
  </cellXfs>
  <cellStyles count="456">
    <cellStyle name="_Comma" xfId="1"/>
    <cellStyle name="_Currency" xfId="2"/>
    <cellStyle name="_Multiple" xfId="3"/>
    <cellStyle name="Actual Date" xfId="4"/>
    <cellStyle name="Comma 10" xfId="5"/>
    <cellStyle name="Comma 10 2" xfId="6"/>
    <cellStyle name="Comma 12" xfId="7"/>
    <cellStyle name="Comma 2" xfId="8"/>
    <cellStyle name="Comma 2 2" xfId="9"/>
    <cellStyle name="Comma 3" xfId="10"/>
    <cellStyle name="Comma 4" xfId="11"/>
    <cellStyle name="Curr?ncy [0]_Sheet1_1" xfId="12"/>
    <cellStyle name="Currency 2" xfId="13"/>
    <cellStyle name="Currency 2 2" xfId="14"/>
    <cellStyle name="Currency 2_200_Lafayett_2-11-09 v1 (2)" xfId="15"/>
    <cellStyle name="Currency 3" xfId="16"/>
    <cellStyle name="Currency 4" xfId="17"/>
    <cellStyle name="Currency 5" xfId="18"/>
    <cellStyle name="Currency 6" xfId="19"/>
    <cellStyle name="DATE" xfId="20"/>
    <cellStyle name="Euro" xfId="21"/>
    <cellStyle name="ExtStyle 0" xfId="22"/>
    <cellStyle name="ExtStyle 16" xfId="23"/>
    <cellStyle name="ExtStyle 17" xfId="24"/>
    <cellStyle name="ExtStyle 19" xfId="25"/>
    <cellStyle name="ExtStyle 20" xfId="26"/>
    <cellStyle name="ExtStyle 21" xfId="27"/>
    <cellStyle name="ExtStyle 22" xfId="28"/>
    <cellStyle name="ExtStyle 23" xfId="29"/>
    <cellStyle name="ExtStyle 29" xfId="30"/>
    <cellStyle name="ExtStyle 30" xfId="31"/>
    <cellStyle name="ExtStyle 31" xfId="32"/>
    <cellStyle name="Fixed" xfId="33"/>
    <cellStyle name="FORMULA" xfId="34"/>
    <cellStyle name="Grey" xfId="35"/>
    <cellStyle name="HEADER" xfId="36"/>
    <cellStyle name="Heading1" xfId="37"/>
    <cellStyle name="Heading2" xfId="38"/>
    <cellStyle name="HIDE" xfId="39"/>
    <cellStyle name="HIGHLIGHT" xfId="40"/>
    <cellStyle name="Hyperlink 2" xfId="41"/>
    <cellStyle name="Input [yellow]" xfId="42"/>
    <cellStyle name="LINK" xfId="43"/>
    <cellStyle name="MainData" xfId="44"/>
    <cellStyle name="MajorTotal" xfId="45"/>
    <cellStyle name="no dec" xfId="46"/>
    <cellStyle name="Nor@„l_IRRSENS" xfId="47"/>
    <cellStyle name="Normal" xfId="0" builtinId="0"/>
    <cellStyle name="Normal - Style1" xfId="48"/>
    <cellStyle name="Normal 10" xfId="49"/>
    <cellStyle name="Normal 10 2" xfId="50"/>
    <cellStyle name="Normal 11" xfId="51"/>
    <cellStyle name="Normal 12" xfId="52"/>
    <cellStyle name="Normal 13" xfId="53"/>
    <cellStyle name="Normal 14" xfId="54"/>
    <cellStyle name="Normal 2" xfId="55"/>
    <cellStyle name="Normal 2 2" xfId="56"/>
    <cellStyle name="Normal 2 3" xfId="57"/>
    <cellStyle name="Normal 2 4" xfId="58"/>
    <cellStyle name="Normal 2_Clark Comparison (2)" xfId="59"/>
    <cellStyle name="Normal 28" xfId="60"/>
    <cellStyle name="Normal 3" xfId="61"/>
    <cellStyle name="Normal 3 2" xfId="62"/>
    <cellStyle name="Normal 3_Single Family Renovation and Ongoing Rental Model (JL Edited) v.11.3 BG Comments" xfId="63"/>
    <cellStyle name="Normal 4" xfId="64"/>
    <cellStyle name="Normal 4 2" xfId="65"/>
    <cellStyle name="Normal 4 3" xfId="66"/>
    <cellStyle name="Normal 4 4" xfId="67"/>
    <cellStyle name="Normal 4 5" xfId="68"/>
    <cellStyle name="Normal 4 6" xfId="69"/>
    <cellStyle name="Normal 4 7" xfId="70"/>
    <cellStyle name="Normal 5" xfId="71"/>
    <cellStyle name="Normal 6" xfId="72"/>
    <cellStyle name="Normal 6 2" xfId="73"/>
    <cellStyle name="Normal 7" xfId="74"/>
    <cellStyle name="Normal 8" xfId="75"/>
    <cellStyle name="Normal 9" xfId="76"/>
    <cellStyle name="NormalOPrint_Module_E (2)" xfId="77"/>
    <cellStyle name="OVERWRITE" xfId="78"/>
    <cellStyle name="Percent" xfId="79" builtinId="5"/>
    <cellStyle name="Percent [2]" xfId="80"/>
    <cellStyle name="Percent 2" xfId="81"/>
    <cellStyle name="Percent 2 2" xfId="82"/>
    <cellStyle name="Percent 2 2 2" xfId="83"/>
    <cellStyle name="Percent 3" xfId="84"/>
    <cellStyle name="Percent 3 2" xfId="85"/>
    <cellStyle name="Percent 4" xfId="86"/>
    <cellStyle name="Percent 4 2" xfId="87"/>
    <cellStyle name="Percent 4 3" xfId="88"/>
    <cellStyle name="Percent 4 4" xfId="89"/>
    <cellStyle name="Percent 4 5" xfId="90"/>
    <cellStyle name="Percent 4 6" xfId="91"/>
    <cellStyle name="Percent 4 7" xfId="92"/>
    <cellStyle name="Percent 4 8" xfId="93"/>
    <cellStyle name="Percent 5" xfId="94"/>
    <cellStyle name="Percent 5 2" xfId="95"/>
    <cellStyle name="Percent 6" xfId="96"/>
    <cellStyle name="Percent 7" xfId="97"/>
    <cellStyle name="Style 1256" xfId="98"/>
    <cellStyle name="Style 1261" xfId="99"/>
    <cellStyle name="Style 1263" xfId="100"/>
    <cellStyle name="Style 1265" xfId="101"/>
    <cellStyle name="Style 1267" xfId="102"/>
    <cellStyle name="Style 1269" xfId="103"/>
    <cellStyle name="Style 1271" xfId="104"/>
    <cellStyle name="Style 227" xfId="105"/>
    <cellStyle name="Style 228" xfId="106"/>
    <cellStyle name="Style 229" xfId="107"/>
    <cellStyle name="Style 230" xfId="108"/>
    <cellStyle name="Style 231" xfId="109"/>
    <cellStyle name="Style 232" xfId="110"/>
    <cellStyle name="Style 233" xfId="111"/>
    <cellStyle name="Style 234" xfId="112"/>
    <cellStyle name="Style 235" xfId="113"/>
    <cellStyle name="Style 236" xfId="114"/>
    <cellStyle name="Style 237" xfId="115"/>
    <cellStyle name="Style 238" xfId="116"/>
    <cellStyle name="Style 239" xfId="117"/>
    <cellStyle name="Style 240" xfId="118"/>
    <cellStyle name="Style 241" xfId="119"/>
    <cellStyle name="Style 242" xfId="120"/>
    <cellStyle name="Style 243" xfId="121"/>
    <cellStyle name="Style 244" xfId="122"/>
    <cellStyle name="Style 245" xfId="123"/>
    <cellStyle name="Style 246" xfId="124"/>
    <cellStyle name="Style 247" xfId="125"/>
    <cellStyle name="Style 248" xfId="126"/>
    <cellStyle name="Style 249" xfId="127"/>
    <cellStyle name="Style 250" xfId="128"/>
    <cellStyle name="Style 251" xfId="129"/>
    <cellStyle name="Style 252" xfId="130"/>
    <cellStyle name="Style 253" xfId="131"/>
    <cellStyle name="Style 254" xfId="132"/>
    <cellStyle name="Style 255" xfId="133"/>
    <cellStyle name="Style 256" xfId="134"/>
    <cellStyle name="Style 257" xfId="135"/>
    <cellStyle name="Style 258" xfId="136"/>
    <cellStyle name="Style 259" xfId="137"/>
    <cellStyle name="Style 260" xfId="138"/>
    <cellStyle name="Style 307" xfId="139"/>
    <cellStyle name="Style 308" xfId="140"/>
    <cellStyle name="Style 309" xfId="141"/>
    <cellStyle name="Style 310" xfId="142"/>
    <cellStyle name="Style 311" xfId="143"/>
    <cellStyle name="Style 312" xfId="144"/>
    <cellStyle name="Style 313" xfId="145"/>
    <cellStyle name="Style 314" xfId="146"/>
    <cellStyle name="Style 315" xfId="147"/>
    <cellStyle name="Style 316" xfId="148"/>
    <cellStyle name="Style 317" xfId="149"/>
    <cellStyle name="Style 318" xfId="150"/>
    <cellStyle name="Style 319" xfId="151"/>
    <cellStyle name="Style 320" xfId="152"/>
    <cellStyle name="Style 321" xfId="153"/>
    <cellStyle name="Style 322" xfId="154"/>
    <cellStyle name="Style 351" xfId="155"/>
    <cellStyle name="Style 352" xfId="156"/>
    <cellStyle name="Style 353" xfId="157"/>
    <cellStyle name="Style 354" xfId="158"/>
    <cellStyle name="Style 355" xfId="159"/>
    <cellStyle name="Style 356" xfId="160"/>
    <cellStyle name="Style 357" xfId="161"/>
    <cellStyle name="Style 358" xfId="162"/>
    <cellStyle name="Style 359" xfId="163"/>
    <cellStyle name="Style 360" xfId="164"/>
    <cellStyle name="Style 361" xfId="165"/>
    <cellStyle name="Style 362" xfId="166"/>
    <cellStyle name="Style 363" xfId="167"/>
    <cellStyle name="Style 364" xfId="168"/>
    <cellStyle name="Style 365" xfId="169"/>
    <cellStyle name="Style 366" xfId="170"/>
    <cellStyle name="Style 367" xfId="171"/>
    <cellStyle name="Style 368" xfId="172"/>
    <cellStyle name="Style 369" xfId="173"/>
    <cellStyle name="Style 370" xfId="174"/>
    <cellStyle name="Style 371" xfId="175"/>
    <cellStyle name="Style 372" xfId="176"/>
    <cellStyle name="Style 373" xfId="177"/>
    <cellStyle name="Style 374" xfId="178"/>
    <cellStyle name="Style 375" xfId="179"/>
    <cellStyle name="Style 376" xfId="180"/>
    <cellStyle name="Style 377" xfId="181"/>
    <cellStyle name="Style 378" xfId="182"/>
    <cellStyle name="Style 379" xfId="183"/>
    <cellStyle name="Style 380" xfId="184"/>
    <cellStyle name="Style 381" xfId="185"/>
    <cellStyle name="Style 382" xfId="186"/>
    <cellStyle name="Style 383" xfId="187"/>
    <cellStyle name="Style 384" xfId="188"/>
    <cellStyle name="Style 385" xfId="189"/>
    <cellStyle name="Style 386" xfId="190"/>
    <cellStyle name="Style 387" xfId="191"/>
    <cellStyle name="Style 388" xfId="192"/>
    <cellStyle name="Style 389" xfId="193"/>
    <cellStyle name="Style 390" xfId="194"/>
    <cellStyle name="Style 391" xfId="195"/>
    <cellStyle name="Style 392" xfId="196"/>
    <cellStyle name="Style 393" xfId="197"/>
    <cellStyle name="Style 394" xfId="198"/>
    <cellStyle name="Style 395" xfId="199"/>
    <cellStyle name="Style 396" xfId="200"/>
    <cellStyle name="Style 397" xfId="201"/>
    <cellStyle name="Style 398" xfId="202"/>
    <cellStyle name="Style 399" xfId="203"/>
    <cellStyle name="Style 400" xfId="204"/>
    <cellStyle name="Style 401" xfId="205"/>
    <cellStyle name="Style 402" xfId="206"/>
    <cellStyle name="Style 403" xfId="207"/>
    <cellStyle name="Style 404" xfId="208"/>
    <cellStyle name="Style 405" xfId="209"/>
    <cellStyle name="Style 406" xfId="210"/>
    <cellStyle name="Style 407" xfId="211"/>
    <cellStyle name="Style 408" xfId="212"/>
    <cellStyle name="Style 409" xfId="213"/>
    <cellStyle name="Style 410" xfId="214"/>
    <cellStyle name="Style 411" xfId="215"/>
    <cellStyle name="Style 439" xfId="216"/>
    <cellStyle name="Style 440" xfId="217"/>
    <cellStyle name="Style 441" xfId="218"/>
    <cellStyle name="Style 442" xfId="219"/>
    <cellStyle name="Style 443" xfId="220"/>
    <cellStyle name="Style 444" xfId="221"/>
    <cellStyle name="Style 445" xfId="222"/>
    <cellStyle name="Style 446" xfId="223"/>
    <cellStyle name="Style 447" xfId="224"/>
    <cellStyle name="Style 448" xfId="225"/>
    <cellStyle name="Style 449" xfId="226"/>
    <cellStyle name="Style 450" xfId="227"/>
    <cellStyle name="Style 451" xfId="228"/>
    <cellStyle name="Style 452" xfId="229"/>
    <cellStyle name="Style 453" xfId="230"/>
    <cellStyle name="Style 454" xfId="231"/>
    <cellStyle name="Style 459" xfId="232"/>
    <cellStyle name="Style 460" xfId="233"/>
    <cellStyle name="Style 461" xfId="234"/>
    <cellStyle name="Style 462" xfId="235"/>
    <cellStyle name="Style 463" xfId="236"/>
    <cellStyle name="Style 464" xfId="237"/>
    <cellStyle name="Style 465" xfId="238"/>
    <cellStyle name="Style 466" xfId="239"/>
    <cellStyle name="Style 467" xfId="240"/>
    <cellStyle name="Style 468" xfId="241"/>
    <cellStyle name="Style 469" xfId="242"/>
    <cellStyle name="Style 470" xfId="243"/>
    <cellStyle name="Style 471" xfId="244"/>
    <cellStyle name="Style 483" xfId="245"/>
    <cellStyle name="Style 484" xfId="246"/>
    <cellStyle name="Style 485" xfId="247"/>
    <cellStyle name="Style 486" xfId="248"/>
    <cellStyle name="Style 487" xfId="249"/>
    <cellStyle name="Style 488" xfId="250"/>
    <cellStyle name="Style 489" xfId="251"/>
    <cellStyle name="Style 490" xfId="252"/>
    <cellStyle name="Style 491" xfId="253"/>
    <cellStyle name="Style 492" xfId="254"/>
    <cellStyle name="Style 493" xfId="255"/>
    <cellStyle name="Style 494" xfId="256"/>
    <cellStyle name="Style 495" xfId="257"/>
    <cellStyle name="Style 496" xfId="258"/>
    <cellStyle name="Style 497" xfId="259"/>
    <cellStyle name="Style 498" xfId="260"/>
    <cellStyle name="Style 499" xfId="261"/>
    <cellStyle name="Style 500" xfId="262"/>
    <cellStyle name="Style 501" xfId="263"/>
    <cellStyle name="Style 502" xfId="264"/>
    <cellStyle name="Style 503" xfId="265"/>
    <cellStyle name="Style 504" xfId="266"/>
    <cellStyle name="Style 514" xfId="267"/>
    <cellStyle name="Style 515" xfId="268"/>
    <cellStyle name="Style 516" xfId="269"/>
    <cellStyle name="Style 517" xfId="270"/>
    <cellStyle name="Style 518" xfId="271"/>
    <cellStyle name="Style 519" xfId="272"/>
    <cellStyle name="Style 520" xfId="273"/>
    <cellStyle name="Style 521" xfId="274"/>
    <cellStyle name="Style 522" xfId="275"/>
    <cellStyle name="Style 523" xfId="276"/>
    <cellStyle name="Style 524" xfId="277"/>
    <cellStyle name="Style 525" xfId="278"/>
    <cellStyle name="Style 526" xfId="279"/>
    <cellStyle name="Style 527" xfId="280"/>
    <cellStyle name="Style 528" xfId="281"/>
    <cellStyle name="Style 529" xfId="282"/>
    <cellStyle name="Style 530" xfId="283"/>
    <cellStyle name="Style 531" xfId="284"/>
    <cellStyle name="Style 532" xfId="285"/>
    <cellStyle name="Style 533" xfId="286"/>
    <cellStyle name="Style 534" xfId="287"/>
    <cellStyle name="Style 535" xfId="288"/>
    <cellStyle name="Style 536" xfId="289"/>
    <cellStyle name="Style 537" xfId="290"/>
    <cellStyle name="Style 538" xfId="291"/>
    <cellStyle name="Style 541" xfId="292"/>
    <cellStyle name="Style 543" xfId="293"/>
    <cellStyle name="Style 545" xfId="294"/>
    <cellStyle name="Style 547" xfId="295"/>
    <cellStyle name="Style 552" xfId="296"/>
    <cellStyle name="Style 561" xfId="297"/>
    <cellStyle name="Style 562" xfId="298"/>
    <cellStyle name="Style 563" xfId="299"/>
    <cellStyle name="Style 564" xfId="300"/>
    <cellStyle name="Style 565" xfId="301"/>
    <cellStyle name="Style 566" xfId="302"/>
    <cellStyle name="Style 567" xfId="303"/>
    <cellStyle name="Style 568" xfId="304"/>
    <cellStyle name="Style 569" xfId="305"/>
    <cellStyle name="Style 582" xfId="306"/>
    <cellStyle name="Style 583" xfId="307"/>
    <cellStyle name="Style 584" xfId="308"/>
    <cellStyle name="Style 585" xfId="309"/>
    <cellStyle name="Style 586" xfId="310"/>
    <cellStyle name="Style 587" xfId="311"/>
    <cellStyle name="Style 588" xfId="312"/>
    <cellStyle name="Style 589" xfId="313"/>
    <cellStyle name="Style 590" xfId="314"/>
    <cellStyle name="Style 591" xfId="315"/>
    <cellStyle name="Style 592" xfId="316"/>
    <cellStyle name="Style 593" xfId="317"/>
    <cellStyle name="Style 594" xfId="318"/>
    <cellStyle name="Style 595" xfId="319"/>
    <cellStyle name="Style 596" xfId="320"/>
    <cellStyle name="Style 597" xfId="321"/>
    <cellStyle name="Style 598" xfId="322"/>
    <cellStyle name="Style 599" xfId="323"/>
    <cellStyle name="Style 609" xfId="324"/>
    <cellStyle name="Style 610" xfId="325"/>
    <cellStyle name="Style 611" xfId="326"/>
    <cellStyle name="Style 612" xfId="327"/>
    <cellStyle name="Style 613" xfId="328"/>
    <cellStyle name="Style 614" xfId="329"/>
    <cellStyle name="Style 615" xfId="330"/>
    <cellStyle name="Style 616" xfId="331"/>
    <cellStyle name="Style 617" xfId="332"/>
    <cellStyle name="Style 618" xfId="333"/>
    <cellStyle name="Style 619" xfId="334"/>
    <cellStyle name="Style 620" xfId="335"/>
    <cellStyle name="Style 621" xfId="336"/>
    <cellStyle name="Style 622" xfId="337"/>
    <cellStyle name="Style 623" xfId="338"/>
    <cellStyle name="Style 624" xfId="339"/>
    <cellStyle name="Style 625" xfId="340"/>
    <cellStyle name="Style 626" xfId="341"/>
    <cellStyle name="Style 627" xfId="342"/>
    <cellStyle name="Style 648" xfId="343"/>
    <cellStyle name="Style 649" xfId="344"/>
    <cellStyle name="Style 650" xfId="345"/>
    <cellStyle name="Style 651" xfId="346"/>
    <cellStyle name="Style 652" xfId="347"/>
    <cellStyle name="Style 653" xfId="348"/>
    <cellStyle name="Style 654" xfId="349"/>
    <cellStyle name="Style 655" xfId="350"/>
    <cellStyle name="Style 656" xfId="351"/>
    <cellStyle name="Style 657" xfId="352"/>
    <cellStyle name="Style 658" xfId="353"/>
    <cellStyle name="Style 659" xfId="354"/>
    <cellStyle name="Style 660" xfId="355"/>
    <cellStyle name="Style 661" xfId="356"/>
    <cellStyle name="Style 662" xfId="357"/>
    <cellStyle name="Style 663" xfId="358"/>
    <cellStyle name="Style 664" xfId="359"/>
    <cellStyle name="Style 665" xfId="360"/>
    <cellStyle name="Style 666" xfId="361"/>
    <cellStyle name="Style 667" xfId="362"/>
    <cellStyle name="Style 668" xfId="363"/>
    <cellStyle name="Style 673" xfId="364"/>
    <cellStyle name="Style 675" xfId="365"/>
    <cellStyle name="Style 677" xfId="366"/>
    <cellStyle name="Style 679" xfId="367"/>
    <cellStyle name="Style 681" xfId="368"/>
    <cellStyle name="Style 682" xfId="369"/>
    <cellStyle name="Style 683" xfId="370"/>
    <cellStyle name="Style 684" xfId="371"/>
    <cellStyle name="Style 685" xfId="372"/>
    <cellStyle name="Style 686" xfId="373"/>
    <cellStyle name="Style 687" xfId="374"/>
    <cellStyle name="Style 688" xfId="375"/>
    <cellStyle name="Style 689" xfId="376"/>
    <cellStyle name="Style 690" xfId="377"/>
    <cellStyle name="Style 691" xfId="378"/>
    <cellStyle name="Style 692" xfId="379"/>
    <cellStyle name="Style 693" xfId="380"/>
    <cellStyle name="Style 694" xfId="381"/>
    <cellStyle name="Style 695" xfId="382"/>
    <cellStyle name="Style 696" xfId="383"/>
    <cellStyle name="Style 697" xfId="384"/>
    <cellStyle name="Style 698" xfId="385"/>
    <cellStyle name="Style 699" xfId="386"/>
    <cellStyle name="Style 700" xfId="387"/>
    <cellStyle name="Style 701" xfId="388"/>
    <cellStyle name="Style 702" xfId="389"/>
    <cellStyle name="Style 703" xfId="390"/>
    <cellStyle name="Style 704" xfId="391"/>
    <cellStyle name="Style 713" xfId="392"/>
    <cellStyle name="Style 714" xfId="393"/>
    <cellStyle name="Style 715" xfId="394"/>
    <cellStyle name="Style 716" xfId="395"/>
    <cellStyle name="Style 717" xfId="396"/>
    <cellStyle name="Style 718" xfId="397"/>
    <cellStyle name="Style 719" xfId="398"/>
    <cellStyle name="Style 720" xfId="399"/>
    <cellStyle name="Style 721" xfId="400"/>
    <cellStyle name="Style 735" xfId="401"/>
    <cellStyle name="Style 736" xfId="402"/>
    <cellStyle name="Style 737" xfId="403"/>
    <cellStyle name="Style 738" xfId="404"/>
    <cellStyle name="Style 739" xfId="405"/>
    <cellStyle name="Style 740" xfId="406"/>
    <cellStyle name="Style 741" xfId="407"/>
    <cellStyle name="Style 742" xfId="408"/>
    <cellStyle name="Style 743" xfId="409"/>
    <cellStyle name="Style 773" xfId="410"/>
    <cellStyle name="Style 775" xfId="411"/>
    <cellStyle name="Style 777" xfId="412"/>
    <cellStyle name="Style 779" xfId="413"/>
    <cellStyle name="Style 812" xfId="414"/>
    <cellStyle name="Style 818" xfId="415"/>
    <cellStyle name="Style 819" xfId="416"/>
    <cellStyle name="Style 821" xfId="417"/>
    <cellStyle name="Style 823" xfId="418"/>
    <cellStyle name="Style 825" xfId="419"/>
    <cellStyle name="Style 827" xfId="420"/>
    <cellStyle name="Style 829" xfId="421"/>
    <cellStyle name="Style 831" xfId="422"/>
    <cellStyle name="Style 832" xfId="423"/>
    <cellStyle name="Style 833" xfId="424"/>
    <cellStyle name="Style 834" xfId="425"/>
    <cellStyle name="Style 835" xfId="426"/>
    <cellStyle name="Style 836" xfId="427"/>
    <cellStyle name="Style 838" xfId="428"/>
    <cellStyle name="Style 840" xfId="429"/>
    <cellStyle name="Style 841" xfId="430"/>
    <cellStyle name="Style 842" xfId="431"/>
    <cellStyle name="Style 843" xfId="432"/>
    <cellStyle name="Style 844" xfId="433"/>
    <cellStyle name="Style 845" xfId="434"/>
    <cellStyle name="Style 847" xfId="435"/>
    <cellStyle name="Style 849" xfId="436"/>
    <cellStyle name="Style 851" xfId="437"/>
    <cellStyle name="Style 853" xfId="438"/>
    <cellStyle name="Style 858" xfId="439"/>
    <cellStyle name="Style 859" xfId="440"/>
    <cellStyle name="Style 860" xfId="441"/>
    <cellStyle name="Style 862" xfId="442"/>
    <cellStyle name="Style 864" xfId="443"/>
    <cellStyle name="Style 866" xfId="444"/>
    <cellStyle name="Style 868" xfId="445"/>
    <cellStyle name="Style 870" xfId="446"/>
    <cellStyle name="Style 872" xfId="447"/>
    <cellStyle name="Style 874" xfId="448"/>
    <cellStyle name="SubTotal" xfId="449"/>
    <cellStyle name="TableFooter" xfId="450"/>
    <cellStyle name="TableIndent" xfId="451"/>
    <cellStyle name="TableTitle" xfId="452"/>
    <cellStyle name="Unprot" xfId="453"/>
    <cellStyle name="Unprot$" xfId="454"/>
    <cellStyle name="Unprotect" xfId="455"/>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'5. 3-Tier Waterfall'!$C$96</c:f>
              <c:strCache>
                <c:ptCount val="1"/>
                <c:pt idx="0">
                  <c:v>Financial Risk</c:v>
                </c:pt>
              </c:strCache>
            </c:strRef>
          </c:tx>
          <c:dPt>
            <c:idx val="0"/>
            <c:bubble3D val="0"/>
            <c:extLst>
              <c:ext xmlns:c16="http://schemas.microsoft.com/office/drawing/2014/chart" uri="{C3380CC4-5D6E-409C-BE32-E72D297353CC}">
                <c16:uniqueId val="{00000000-FECB-4AAA-9344-61CCC27972BF}"/>
              </c:ext>
            </c:extLst>
          </c:dPt>
          <c:dPt>
            <c:idx val="1"/>
            <c:bubble3D val="0"/>
            <c:extLst>
              <c:ext xmlns:c16="http://schemas.microsoft.com/office/drawing/2014/chart" uri="{C3380CC4-5D6E-409C-BE32-E72D297353CC}">
                <c16:uniqueId val="{00000001-FECB-4AAA-9344-61CCC27972BF}"/>
              </c:ext>
            </c:extLst>
          </c:dPt>
          <c:dLbls>
            <c:spPr>
              <a:noFill/>
              <a:ln>
                <a:noFill/>
              </a:ln>
              <a:effectLst/>
            </c:spPr>
            <c:txPr>
              <a:bodyPr/>
              <a:lstStyle/>
              <a:p>
                <a:pPr>
                  <a:defRPr sz="1600" b="1"/>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'5. 3-Tier Waterfall'!$B$97:$B$98</c:f>
              <c:strCache>
                <c:ptCount val="2"/>
                <c:pt idx="0">
                  <c:v>Sponsor</c:v>
                </c:pt>
                <c:pt idx="1">
                  <c:v>Investor</c:v>
                </c:pt>
              </c:strCache>
            </c:strRef>
          </c:cat>
          <c:val>
            <c:numRef>
              <c:f>'5. 3-Tier Waterfall'!$C$97:$C$98</c:f>
              <c:numCache>
                <c:formatCode>0%</c:formatCode>
                <c:ptCount val="2"/>
                <c:pt idx="0">
                  <c:v>0.1</c:v>
                </c:pt>
                <c:pt idx="1">
                  <c:v>0.9</c:v>
                </c:pt>
              </c:numCache>
            </c:numRef>
          </c:val>
          <c:extLst>
            <c:ext xmlns:c16="http://schemas.microsoft.com/office/drawing/2014/chart" uri="{C3380CC4-5D6E-409C-BE32-E72D297353CC}">
              <c16:uniqueId val="{00000002-FECB-4AAA-9344-61CCC27972B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9632505877935044"/>
          <c:y val="0.19163619066927629"/>
          <c:w val="0.60124549251176074"/>
          <c:h val="9.9122167587556709E-2"/>
        </c:manualLayout>
      </c:layout>
      <c:overlay val="0"/>
      <c:txPr>
        <a:bodyPr/>
        <a:lstStyle/>
        <a:p>
          <a:pPr>
            <a:defRPr sz="1400"/>
          </a:pPr>
          <a:endParaRPr lang="en-US"/>
        </a:p>
      </c:txPr>
    </c:legend>
    <c:plotVisOnly val="1"/>
    <c:dispBlanksAs val="zero"/>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Garamond"/>
                <a:ea typeface="Garamond"/>
                <a:cs typeface="Garamond"/>
              </a:defRPr>
            </a:pPr>
            <a:r>
              <a:rPr lang="en-US"/>
              <a:t>Net Profits</a:t>
            </a:r>
          </a:p>
        </c:rich>
      </c:tx>
      <c:overlay val="0"/>
      <c:spPr>
        <a:noFill/>
        <a:ln w="25400">
          <a:noFill/>
        </a:ln>
      </c:spPr>
    </c:title>
    <c:autoTitleDeleted val="0"/>
    <c:plotArea>
      <c:layout>
        <c:manualLayout>
          <c:layoutTarget val="inner"/>
          <c:xMode val="edge"/>
          <c:yMode val="edge"/>
          <c:x val="0.21755897627404716"/>
          <c:y val="0.14656320534917539"/>
          <c:w val="0.73635345815831377"/>
          <c:h val="0.79144130888554676"/>
        </c:manualLayout>
      </c:layout>
      <c:barChart>
        <c:barDir val="col"/>
        <c:grouping val="clustered"/>
        <c:varyColors val="0"/>
        <c:ser>
          <c:idx val="0"/>
          <c:order val="0"/>
          <c:tx>
            <c:v>Partner</c:v>
          </c:tx>
          <c:invertIfNegative val="0"/>
          <c:val>
            <c:numRef>
              <c:f>'10. Returns Exhibit'!$H$37</c:f>
              <c:numCache>
                <c:formatCode>"$"#,##0_);[Red]\("$"#,##0\)</c:formatCode>
                <c:ptCount val="1"/>
                <c:pt idx="0">
                  <c:v>4458220.1221929276</c:v>
                </c:pt>
              </c:numCache>
            </c:numRef>
          </c:val>
          <c:extLst>
            <c:ext xmlns:c16="http://schemas.microsoft.com/office/drawing/2014/chart" uri="{C3380CC4-5D6E-409C-BE32-E72D297353CC}">
              <c16:uniqueId val="{00000000-B9F0-49F3-8779-9D8814E8580F}"/>
            </c:ext>
          </c:extLst>
        </c:ser>
        <c:ser>
          <c:idx val="1"/>
          <c:order val="1"/>
          <c:tx>
            <c:v>Sponsor</c:v>
          </c:tx>
          <c:invertIfNegative val="0"/>
          <c:val>
            <c:numRef>
              <c:f>'10. Returns Exhibit'!$D$37</c:f>
              <c:numCache>
                <c:formatCode>"$"#,##0_);[Red]\("$"#,##0\)</c:formatCode>
                <c:ptCount val="1"/>
                <c:pt idx="0">
                  <c:v>6239350.6489209905</c:v>
                </c:pt>
              </c:numCache>
            </c:numRef>
          </c:val>
          <c:extLst>
            <c:ext xmlns:c16="http://schemas.microsoft.com/office/drawing/2014/chart" uri="{C3380CC4-5D6E-409C-BE32-E72D297353CC}">
              <c16:uniqueId val="{00000001-B9F0-49F3-8779-9D8814E8580F}"/>
            </c:ext>
          </c:extLst>
        </c:ser>
        <c:ser>
          <c:idx val="2"/>
          <c:order val="2"/>
          <c:tx>
            <c:v>Third Party Investor</c:v>
          </c:tx>
          <c:invertIfNegative val="0"/>
          <c:val>
            <c:numRef>
              <c:f>'10. Returns Exhibit'!$H$25</c:f>
              <c:numCache>
                <c:formatCode>"$"#,##0_);[Red]\("$"#,##0\)</c:formatCode>
                <c:ptCount val="1"/>
                <c:pt idx="0">
                  <c:v>9602429.2288860828</c:v>
                </c:pt>
              </c:numCache>
            </c:numRef>
          </c:val>
          <c:extLst>
            <c:ext xmlns:c16="http://schemas.microsoft.com/office/drawing/2014/chart" uri="{C3380CC4-5D6E-409C-BE32-E72D297353CC}">
              <c16:uniqueId val="{00000002-B9F0-49F3-8779-9D8814E8580F}"/>
            </c:ext>
          </c:extLst>
        </c:ser>
        <c:dLbls>
          <c:showLegendKey val="0"/>
          <c:showVal val="0"/>
          <c:showCatName val="0"/>
          <c:showSerName val="0"/>
          <c:showPercent val="0"/>
          <c:showBubbleSize val="0"/>
        </c:dLbls>
        <c:gapWidth val="150"/>
        <c:axId val="807271791"/>
        <c:axId val="1"/>
      </c:barChart>
      <c:catAx>
        <c:axId val="807271791"/>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max val="8000000"/>
          <c:min val="0"/>
        </c:scaling>
        <c:delete val="0"/>
        <c:axPos val="l"/>
        <c:majorGridlines/>
        <c:numFmt formatCode="&quot;$&quot;#,##0_);[Red]\(&quot;$&quot;#,##0\)" sourceLinked="1"/>
        <c:majorTickMark val="none"/>
        <c:minorTickMark val="none"/>
        <c:tickLblPos val="nextTo"/>
        <c:txPr>
          <a:bodyPr rot="0" vert="horz"/>
          <a:lstStyle/>
          <a:p>
            <a:pPr>
              <a:defRPr sz="1600" b="0" i="0" u="none" strike="noStrike" baseline="0">
                <a:solidFill>
                  <a:srgbClr val="000000"/>
                </a:solidFill>
                <a:latin typeface="Garamond"/>
                <a:ea typeface="Garamond"/>
                <a:cs typeface="Garamond"/>
              </a:defRPr>
            </a:pPr>
            <a:endParaRPr lang="en-US"/>
          </a:p>
        </c:txPr>
        <c:crossAx val="807271791"/>
        <c:crosses val="autoZero"/>
        <c:crossBetween val="between"/>
      </c:valAx>
    </c:plotArea>
    <c:legend>
      <c:legendPos val="r"/>
      <c:layout>
        <c:manualLayout>
          <c:xMode val="edge"/>
          <c:yMode val="edge"/>
          <c:x val="0.21761317502493252"/>
          <c:y val="0.13853253092017512"/>
          <c:w val="0.3462027784487563"/>
          <c:h val="0.3225210485485327"/>
        </c:manualLayout>
      </c:layout>
      <c:overlay val="0"/>
      <c:txPr>
        <a:bodyPr/>
        <a:lstStyle/>
        <a:p>
          <a:pPr>
            <a:defRPr sz="1400" b="0" i="0" u="none" strike="noStrike" baseline="0">
              <a:solidFill>
                <a:srgbClr val="000000"/>
              </a:solidFill>
              <a:latin typeface="Garamond"/>
              <a:ea typeface="Garamond"/>
              <a:cs typeface="Garamond"/>
            </a:defRPr>
          </a:pPr>
          <a:endParaRPr lang="en-US"/>
        </a:p>
      </c:txPr>
    </c:legend>
    <c:plotVisOnly val="1"/>
    <c:dispBlanksAs val="gap"/>
    <c:showDLblsOverMax val="0"/>
  </c:chart>
  <c:txPr>
    <a:bodyPr/>
    <a:lstStyle/>
    <a:p>
      <a:pPr>
        <a:defRPr sz="1000" b="0" i="0" u="none" strike="noStrike" baseline="0">
          <a:solidFill>
            <a:srgbClr val="000000"/>
          </a:solidFill>
          <a:latin typeface="Garamond"/>
          <a:ea typeface="Garamond"/>
          <a:cs typeface="Garamond"/>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Garamond"/>
                <a:ea typeface="Garamond"/>
                <a:cs typeface="Garamond"/>
              </a:defRPr>
            </a:pPr>
            <a:r>
              <a:rPr lang="en-US" sz="1800" b="0" i="0" u="none" strike="noStrike" baseline="0">
                <a:solidFill>
                  <a:srgbClr val="000000"/>
                </a:solidFill>
                <a:latin typeface="Garamond"/>
              </a:rPr>
              <a:t>Share of Top-Level Sponsor </a:t>
            </a:r>
          </a:p>
          <a:p>
            <a:pPr>
              <a:defRPr sz="1000" b="0" i="0" u="none" strike="noStrike" baseline="0">
                <a:solidFill>
                  <a:srgbClr val="000000"/>
                </a:solidFill>
                <a:latin typeface="Garamond"/>
                <a:ea typeface="Garamond"/>
                <a:cs typeface="Garamond"/>
              </a:defRPr>
            </a:pPr>
            <a:r>
              <a:rPr lang="en-US" sz="1800" b="0" i="0" u="none" strike="noStrike" baseline="0">
                <a:solidFill>
                  <a:srgbClr val="000000"/>
                </a:solidFill>
                <a:latin typeface="Garamond"/>
              </a:rPr>
              <a:t>Equity Investment</a:t>
            </a:r>
          </a:p>
        </c:rich>
      </c:tx>
      <c:overlay val="0"/>
      <c:spPr>
        <a:noFill/>
        <a:ln w="25400">
          <a:noFill/>
        </a:ln>
      </c:spPr>
    </c:title>
    <c:autoTitleDeleted val="0"/>
    <c:plotArea>
      <c:layout>
        <c:manualLayout>
          <c:layoutTarget val="inner"/>
          <c:xMode val="edge"/>
          <c:yMode val="edge"/>
          <c:x val="0.36195223824347444"/>
          <c:y val="0.3753899280054584"/>
          <c:w val="0.26278724146444032"/>
          <c:h val="0.44212591520642847"/>
        </c:manualLayout>
      </c:layout>
      <c:pieChart>
        <c:varyColors val="1"/>
        <c:ser>
          <c:idx val="0"/>
          <c:order val="0"/>
          <c:dPt>
            <c:idx val="0"/>
            <c:bubble3D val="0"/>
            <c:extLst>
              <c:ext xmlns:c16="http://schemas.microsoft.com/office/drawing/2014/chart" uri="{C3380CC4-5D6E-409C-BE32-E72D297353CC}">
                <c16:uniqueId val="{00000000-5756-4017-B810-2725277184B5}"/>
              </c:ext>
            </c:extLst>
          </c:dPt>
          <c:dPt>
            <c:idx val="1"/>
            <c:bubble3D val="0"/>
            <c:extLst>
              <c:ext xmlns:c16="http://schemas.microsoft.com/office/drawing/2014/chart" uri="{C3380CC4-5D6E-409C-BE32-E72D297353CC}">
                <c16:uniqueId val="{00000001-5756-4017-B810-2725277184B5}"/>
              </c:ext>
            </c:extLst>
          </c:dPt>
          <c:dLbls>
            <c:dLbl>
              <c:idx val="0"/>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extLst>
                <c:ext xmlns:c16="http://schemas.microsoft.com/office/drawing/2014/chart" uri="{C3380CC4-5D6E-409C-BE32-E72D297353CC}">
                  <c16:uniqueId val="{00000000-5756-4017-B810-2725277184B5}"/>
                </c:ext>
              </c:extLst>
            </c:dLbl>
            <c:dLbl>
              <c:idx val="1"/>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extLst>
                <c:ext xmlns:c16="http://schemas.microsoft.com/office/drawing/2014/chart" uri="{C3380CC4-5D6E-409C-BE32-E72D297353CC}">
                  <c16:uniqueId val="{00000001-5756-4017-B810-2725277184B5}"/>
                </c:ext>
              </c:extLst>
            </c:dLbl>
            <c:spPr>
              <a:noFill/>
              <a:ln w="25400">
                <a:noFill/>
              </a:ln>
            </c:spPr>
            <c:txPr>
              <a:bodyPr wrap="square" lIns="38100" tIns="19050" rIns="38100" bIns="19050" anchor="ctr">
                <a:spAutoFit/>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Lit>
              <c:ptCount val="2"/>
              <c:pt idx="0">
                <c:v>Sponsor</c:v>
              </c:pt>
              <c:pt idx="1">
                <c:v>Partner</c:v>
              </c:pt>
            </c:strLit>
          </c:cat>
          <c:val>
            <c:numRef>
              <c:f>('10. Returns Exhibit'!$F$36,'10. Returns Exhibit'!$J$36)</c:f>
              <c:numCache>
                <c:formatCode>0%</c:formatCode>
                <c:ptCount val="2"/>
                <c:pt idx="0">
                  <c:v>0.1</c:v>
                </c:pt>
                <c:pt idx="1">
                  <c:v>0.9</c:v>
                </c:pt>
              </c:numCache>
            </c:numRef>
          </c:val>
          <c:extLst>
            <c:ext xmlns:c16="http://schemas.microsoft.com/office/drawing/2014/chart" uri="{C3380CC4-5D6E-409C-BE32-E72D297353CC}">
              <c16:uniqueId val="{00000002-5756-4017-B810-2725277184B5}"/>
            </c:ext>
          </c:extLst>
        </c:ser>
        <c:dLbls>
          <c:showLegendKey val="0"/>
          <c:showVal val="0"/>
          <c:showCatName val="0"/>
          <c:showSerName val="0"/>
          <c:showPercent val="1"/>
          <c:showBubbleSize val="0"/>
          <c:showLeaderLines val="1"/>
        </c:dLbls>
        <c:firstSliceAng val="0"/>
      </c:pieChart>
      <c:spPr>
        <a:noFill/>
        <a:ln w="25400">
          <a:noFill/>
        </a:ln>
      </c:spPr>
    </c:plotArea>
    <c:legend>
      <c:legendPos val="r"/>
      <c:layout>
        <c:manualLayout>
          <c:xMode val="edge"/>
          <c:yMode val="edge"/>
          <c:x val="0.20059345734892603"/>
          <c:y val="0.2359629853915331"/>
          <c:w val="0.58514579265686717"/>
          <c:h val="8.0527050570126379E-2"/>
        </c:manualLayout>
      </c:layout>
      <c:overlay val="0"/>
      <c:txPr>
        <a:bodyPr/>
        <a:lstStyle/>
        <a:p>
          <a:pPr>
            <a:defRPr sz="1400" b="0" i="0" u="none" strike="noStrike" baseline="0">
              <a:solidFill>
                <a:srgbClr val="000000"/>
              </a:solidFill>
              <a:latin typeface="Garamond"/>
              <a:ea typeface="Garamond"/>
              <a:cs typeface="Garamond"/>
            </a:defRPr>
          </a:pPr>
          <a:endParaRPr lang="en-US"/>
        </a:p>
      </c:txPr>
    </c:legend>
    <c:plotVisOnly val="1"/>
    <c:dispBlanksAs val="zero"/>
    <c:showDLblsOverMax val="0"/>
  </c:chart>
  <c:txPr>
    <a:bodyPr/>
    <a:lstStyle/>
    <a:p>
      <a:pPr>
        <a:defRPr sz="1000" b="0" i="0" u="none" strike="noStrike" baseline="0">
          <a:solidFill>
            <a:srgbClr val="000000"/>
          </a:solidFill>
          <a:latin typeface="Garamond"/>
          <a:ea typeface="Garamond"/>
          <a:cs typeface="Garamond"/>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Garamond"/>
                <a:ea typeface="Garamond"/>
                <a:cs typeface="Garamond"/>
              </a:defRPr>
            </a:pPr>
            <a:r>
              <a:rPr lang="en-US"/>
              <a:t>Share of Top-Level Sponsor Profit</a:t>
            </a:r>
          </a:p>
        </c:rich>
      </c:tx>
      <c:overlay val="0"/>
      <c:spPr>
        <a:noFill/>
        <a:ln w="25400">
          <a:noFill/>
        </a:ln>
      </c:spPr>
    </c:title>
    <c:autoTitleDeleted val="0"/>
    <c:plotArea>
      <c:layout>
        <c:manualLayout>
          <c:layoutTarget val="inner"/>
          <c:xMode val="edge"/>
          <c:yMode val="edge"/>
          <c:x val="0.36063705247980271"/>
          <c:y val="0.37135793921729543"/>
          <c:w val="0.26923134793423059"/>
          <c:h val="0.45575747085758972"/>
        </c:manualLayout>
      </c:layout>
      <c:pieChart>
        <c:varyColors val="1"/>
        <c:ser>
          <c:idx val="0"/>
          <c:order val="0"/>
          <c:dPt>
            <c:idx val="0"/>
            <c:bubble3D val="0"/>
            <c:extLst>
              <c:ext xmlns:c16="http://schemas.microsoft.com/office/drawing/2014/chart" uri="{C3380CC4-5D6E-409C-BE32-E72D297353CC}">
                <c16:uniqueId val="{00000000-41E5-4520-B9BA-FAF67626C2A9}"/>
              </c:ext>
            </c:extLst>
          </c:dPt>
          <c:dPt>
            <c:idx val="1"/>
            <c:bubble3D val="0"/>
            <c:extLst>
              <c:ext xmlns:c16="http://schemas.microsoft.com/office/drawing/2014/chart" uri="{C3380CC4-5D6E-409C-BE32-E72D297353CC}">
                <c16:uniqueId val="{00000001-41E5-4520-B9BA-FAF67626C2A9}"/>
              </c:ext>
            </c:extLst>
          </c:dPt>
          <c:dLbls>
            <c:dLbl>
              <c:idx val="0"/>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extLst>
                <c:ext xmlns:c16="http://schemas.microsoft.com/office/drawing/2014/chart" uri="{C3380CC4-5D6E-409C-BE32-E72D297353CC}">
                  <c16:uniqueId val="{00000000-41E5-4520-B9BA-FAF67626C2A9}"/>
                </c:ext>
              </c:extLst>
            </c:dLbl>
            <c:dLbl>
              <c:idx val="1"/>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extLst>
                <c:ext xmlns:c16="http://schemas.microsoft.com/office/drawing/2014/chart" uri="{C3380CC4-5D6E-409C-BE32-E72D297353CC}">
                  <c16:uniqueId val="{00000001-41E5-4520-B9BA-FAF67626C2A9}"/>
                </c:ext>
              </c:extLst>
            </c:dLbl>
            <c:spPr>
              <a:noFill/>
              <a:ln w="25400">
                <a:noFill/>
              </a:ln>
            </c:spPr>
            <c:txPr>
              <a:bodyPr wrap="square" lIns="38100" tIns="19050" rIns="38100" bIns="19050" anchor="ctr">
                <a:spAutoFit/>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Lit>
              <c:ptCount val="2"/>
              <c:pt idx="0">
                <c:v>Sponsor</c:v>
              </c:pt>
              <c:pt idx="1">
                <c:v>Partner</c:v>
              </c:pt>
            </c:strLit>
          </c:cat>
          <c:val>
            <c:numRef>
              <c:f>('10. Returns Exhibit'!$F$37,'10. Returns Exhibit'!$J$37)</c:f>
              <c:numCache>
                <c:formatCode>0%</c:formatCode>
                <c:ptCount val="2"/>
                <c:pt idx="0">
                  <c:v>0.58324929859485275</c:v>
                </c:pt>
                <c:pt idx="1">
                  <c:v>0.41675070140514731</c:v>
                </c:pt>
              </c:numCache>
            </c:numRef>
          </c:val>
          <c:extLst>
            <c:ext xmlns:c16="http://schemas.microsoft.com/office/drawing/2014/chart" uri="{C3380CC4-5D6E-409C-BE32-E72D297353CC}">
              <c16:uniqueId val="{00000002-41E5-4520-B9BA-FAF67626C2A9}"/>
            </c:ext>
          </c:extLst>
        </c:ser>
        <c:dLbls>
          <c:showLegendKey val="0"/>
          <c:showVal val="0"/>
          <c:showCatName val="0"/>
          <c:showSerName val="0"/>
          <c:showPercent val="1"/>
          <c:showBubbleSize val="0"/>
          <c:showLeaderLines val="1"/>
        </c:dLbls>
        <c:firstSliceAng val="0"/>
      </c:pieChart>
      <c:spPr>
        <a:noFill/>
        <a:ln w="25400">
          <a:noFill/>
        </a:ln>
      </c:spPr>
    </c:plotArea>
    <c:legend>
      <c:legendPos val="r"/>
      <c:layout>
        <c:manualLayout>
          <c:xMode val="edge"/>
          <c:yMode val="edge"/>
          <c:x val="0.19764617340006996"/>
          <c:y val="0.14934306972758946"/>
          <c:w val="0.58802194872259617"/>
          <c:h val="0.18715144181052348"/>
        </c:manualLayout>
      </c:layout>
      <c:overlay val="0"/>
      <c:txPr>
        <a:bodyPr/>
        <a:lstStyle/>
        <a:p>
          <a:pPr>
            <a:defRPr sz="1400" b="0" i="0" u="none" strike="noStrike" baseline="0">
              <a:solidFill>
                <a:srgbClr val="000000"/>
              </a:solidFill>
              <a:latin typeface="Garamond"/>
              <a:ea typeface="Garamond"/>
              <a:cs typeface="Garamond"/>
            </a:defRPr>
          </a:pPr>
          <a:endParaRPr lang="en-US"/>
        </a:p>
      </c:txPr>
    </c:legend>
    <c:plotVisOnly val="1"/>
    <c:dispBlanksAs val="zero"/>
    <c:showDLblsOverMax val="0"/>
  </c:chart>
  <c:txPr>
    <a:bodyPr/>
    <a:lstStyle/>
    <a:p>
      <a:pPr>
        <a:defRPr sz="1000" b="0" i="0" u="none" strike="noStrike" baseline="0">
          <a:solidFill>
            <a:srgbClr val="000000"/>
          </a:solidFill>
          <a:latin typeface="Garamond"/>
          <a:ea typeface="Garamond"/>
          <a:cs typeface="Garamond"/>
        </a:defRPr>
      </a:pPr>
      <a:endParaRPr lang="en-US"/>
    </a:p>
  </c:txPr>
  <c:printSettings>
    <c:headerFooter/>
    <c:pageMargins b="0.750000000000001" l="0.70000000000000062" r="0.70000000000000062" t="0.75000000000000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Share of Cash Flows At Each Tier</a:t>
            </a:r>
          </a:p>
        </c:rich>
      </c:tx>
      <c:layout>
        <c:manualLayout>
          <c:xMode val="edge"/>
          <c:yMode val="edge"/>
          <c:x val="0.17914658267716535"/>
          <c:y val="3.3333667686443649E-2"/>
        </c:manualLayout>
      </c:layout>
      <c:overlay val="0"/>
    </c:title>
    <c:autoTitleDeleted val="0"/>
    <c:plotArea>
      <c:layout>
        <c:manualLayout>
          <c:layoutTarget val="inner"/>
          <c:xMode val="edge"/>
          <c:yMode val="edge"/>
          <c:x val="2.346666666666667E-2"/>
          <c:y val="0.25977427821522325"/>
          <c:w val="0.95306666666666651"/>
          <c:h val="0.53146194225721766"/>
        </c:manualLayout>
      </c:layout>
      <c:barChart>
        <c:barDir val="col"/>
        <c:grouping val="clustered"/>
        <c:varyColors val="0"/>
        <c:ser>
          <c:idx val="0"/>
          <c:order val="0"/>
          <c:tx>
            <c:v>Top-Level Sponsor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'Alternate Compounding Periods'!$I$6:$I$10</c:f>
              <c:strCache>
                <c:ptCount val="5"/>
                <c:pt idx="0">
                  <c:v>Tier 1</c:v>
                </c:pt>
                <c:pt idx="1">
                  <c:v>Tier 2</c:v>
                </c:pt>
                <c:pt idx="2">
                  <c:v>Tier 3</c:v>
                </c:pt>
                <c:pt idx="3">
                  <c:v>Tier 4</c:v>
                </c:pt>
                <c:pt idx="4">
                  <c:v>Tier 5</c:v>
                </c:pt>
              </c:strCache>
            </c:strRef>
          </c:cat>
          <c:val>
            <c:numRef>
              <c:f>'Alternate Compounding Periods'!$P$6:$P$10</c:f>
              <c:numCache>
                <c:formatCode>0%</c:formatCode>
                <c:ptCount val="5"/>
                <c:pt idx="0">
                  <c:v>0.1</c:v>
                </c:pt>
                <c:pt idx="1">
                  <c:v>0.2</c:v>
                </c:pt>
                <c:pt idx="2">
                  <c:v>0.30000000000000004</c:v>
                </c:pt>
                <c:pt idx="3">
                  <c:v>0.4</c:v>
                </c:pt>
                <c:pt idx="4">
                  <c:v>0.6</c:v>
                </c:pt>
              </c:numCache>
            </c:numRef>
          </c:val>
          <c:extLst>
            <c:ext xmlns:c16="http://schemas.microsoft.com/office/drawing/2014/chart" uri="{C3380CC4-5D6E-409C-BE32-E72D297353CC}">
              <c16:uniqueId val="{00000000-2925-4BEF-8C68-C1BD6FB1C9CB}"/>
            </c:ext>
          </c:extLst>
        </c:ser>
        <c:ser>
          <c:idx val="1"/>
          <c:order val="1"/>
          <c:tx>
            <c:v>Investor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'Alternate Compounding Periods'!$I$6:$I$10</c:f>
              <c:strCache>
                <c:ptCount val="5"/>
                <c:pt idx="0">
                  <c:v>Tier 1</c:v>
                </c:pt>
                <c:pt idx="1">
                  <c:v>Tier 2</c:v>
                </c:pt>
                <c:pt idx="2">
                  <c:v>Tier 3</c:v>
                </c:pt>
                <c:pt idx="3">
                  <c:v>Tier 4</c:v>
                </c:pt>
                <c:pt idx="4">
                  <c:v>Tier 5</c:v>
                </c:pt>
              </c:strCache>
            </c:strRef>
          </c:cat>
          <c:val>
            <c:numRef>
              <c:f>'Alternate Compounding Periods'!$Q$6:$Q$10</c:f>
              <c:numCache>
                <c:formatCode>0%</c:formatCode>
                <c:ptCount val="5"/>
                <c:pt idx="0">
                  <c:v>0.9</c:v>
                </c:pt>
                <c:pt idx="1">
                  <c:v>0.8</c:v>
                </c:pt>
                <c:pt idx="2">
                  <c:v>0.7</c:v>
                </c:pt>
                <c:pt idx="3">
                  <c:v>0.6</c:v>
                </c:pt>
                <c:pt idx="4">
                  <c:v>0.4</c:v>
                </c:pt>
              </c:numCache>
            </c:numRef>
          </c:val>
          <c:extLst>
            <c:ext xmlns:c16="http://schemas.microsoft.com/office/drawing/2014/chart" uri="{C3380CC4-5D6E-409C-BE32-E72D297353CC}">
              <c16:uniqueId val="{00000001-2925-4BEF-8C68-C1BD6FB1C9CB}"/>
            </c:ext>
          </c:extLst>
        </c:ser>
        <c:dLbls>
          <c:showLegendKey val="0"/>
          <c:showVal val="1"/>
          <c:showCatName val="0"/>
          <c:showSerName val="0"/>
          <c:showPercent val="0"/>
          <c:showBubbleSize val="0"/>
        </c:dLbls>
        <c:gapWidth val="150"/>
        <c:overlap val="-25"/>
        <c:axId val="807278191"/>
        <c:axId val="1"/>
      </c:barChart>
      <c:catAx>
        <c:axId val="807278191"/>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807278191"/>
        <c:crosses val="autoZero"/>
        <c:crossBetween val="between"/>
      </c:valAx>
    </c:plotArea>
    <c:legend>
      <c:legendPos val="r"/>
      <c:layout>
        <c:manualLayout>
          <c:xMode val="edge"/>
          <c:yMode val="edge"/>
          <c:x val="0.6094870462260461"/>
          <c:y val="6.3832091677594946E-2"/>
          <c:w val="0.30572974810691633"/>
          <c:h val="0.14894154724772155"/>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'5. 3-Tier Waterfall'!$E$96</c:f>
              <c:strCache>
                <c:ptCount val="1"/>
                <c:pt idx="0">
                  <c:v>Financial Reward *</c:v>
                </c:pt>
              </c:strCache>
            </c:strRef>
          </c:tx>
          <c:dPt>
            <c:idx val="0"/>
            <c:bubble3D val="0"/>
            <c:extLst>
              <c:ext xmlns:c16="http://schemas.microsoft.com/office/drawing/2014/chart" uri="{C3380CC4-5D6E-409C-BE32-E72D297353CC}">
                <c16:uniqueId val="{00000000-C8FA-4F23-A88D-E81B76DBAC2B}"/>
              </c:ext>
            </c:extLst>
          </c:dPt>
          <c:dPt>
            <c:idx val="1"/>
            <c:bubble3D val="0"/>
            <c:extLst>
              <c:ext xmlns:c16="http://schemas.microsoft.com/office/drawing/2014/chart" uri="{C3380CC4-5D6E-409C-BE32-E72D297353CC}">
                <c16:uniqueId val="{00000001-C8FA-4F23-A88D-E81B76DBAC2B}"/>
              </c:ext>
            </c:extLst>
          </c:dPt>
          <c:dLbls>
            <c:spPr>
              <a:noFill/>
              <a:ln>
                <a:noFill/>
              </a:ln>
              <a:effectLst/>
            </c:spPr>
            <c:txPr>
              <a:bodyPr/>
              <a:lstStyle/>
              <a:p>
                <a:pPr>
                  <a:defRPr sz="1600"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'5. 3-Tier Waterfall'!$B$97:$B$98</c:f>
              <c:strCache>
                <c:ptCount val="2"/>
                <c:pt idx="0">
                  <c:v>Sponsor</c:v>
                </c:pt>
                <c:pt idx="1">
                  <c:v>Investor</c:v>
                </c:pt>
              </c:strCache>
            </c:strRef>
          </c:cat>
          <c:val>
            <c:numRef>
              <c:f>'5. 3-Tier Waterfall'!$E$97:$E$98</c:f>
              <c:numCache>
                <c:formatCode>0%</c:formatCode>
                <c:ptCount val="2"/>
                <c:pt idx="0">
                  <c:v>0.34168103448275866</c:v>
                </c:pt>
                <c:pt idx="1">
                  <c:v>0.65831896551724134</c:v>
                </c:pt>
              </c:numCache>
            </c:numRef>
          </c:val>
          <c:extLst>
            <c:ext xmlns:c16="http://schemas.microsoft.com/office/drawing/2014/chart" uri="{C3380CC4-5D6E-409C-BE32-E72D297353CC}">
              <c16:uniqueId val="{00000002-C8FA-4F23-A88D-E81B76DBAC2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9588283350267485"/>
          <c:y val="0.19027148604833449"/>
          <c:w val="0.606205821576699"/>
          <c:h val="9.9560661304361059E-2"/>
        </c:manualLayout>
      </c:layout>
      <c:overlay val="0"/>
      <c:txPr>
        <a:bodyPr/>
        <a:lstStyle/>
        <a:p>
          <a:pPr>
            <a:defRPr sz="1400"/>
          </a:pPr>
          <a:endParaRPr lang="en-US"/>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Profit Sharing At Each Tier</a:t>
            </a:r>
          </a:p>
        </c:rich>
      </c:tx>
      <c:overlay val="0"/>
    </c:title>
    <c:autoTitleDeleted val="0"/>
    <c:plotArea>
      <c:layout>
        <c:manualLayout>
          <c:layoutTarget val="inner"/>
          <c:xMode val="edge"/>
          <c:yMode val="edge"/>
          <c:x val="3.6617372571150282E-2"/>
          <c:y val="0.27114351655576846"/>
          <c:w val="0.92676525485769945"/>
          <c:h val="0.55067482614805008"/>
        </c:manualLayout>
      </c:layout>
      <c:barChart>
        <c:barDir val="col"/>
        <c:grouping val="clustered"/>
        <c:varyColors val="0"/>
        <c:ser>
          <c:idx val="0"/>
          <c:order val="0"/>
          <c:tx>
            <c:v>Sponsor</c:v>
          </c:tx>
          <c:invertIfNegative val="0"/>
          <c:dLbls>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3-Tier Waterfall'!$L$16:$L$18</c:f>
              <c:strCache>
                <c:ptCount val="3"/>
                <c:pt idx="0">
                  <c:v>Tier 1</c:v>
                </c:pt>
                <c:pt idx="1">
                  <c:v>Tier 2</c:v>
                </c:pt>
                <c:pt idx="2">
                  <c:v>Tier 3</c:v>
                </c:pt>
              </c:strCache>
            </c:strRef>
          </c:cat>
          <c:val>
            <c:numRef>
              <c:f>'5. 3-Tier Waterfall'!$M$16:$M$18</c:f>
              <c:numCache>
                <c:formatCode>0%</c:formatCode>
                <c:ptCount val="3"/>
                <c:pt idx="0">
                  <c:v>0.1</c:v>
                </c:pt>
                <c:pt idx="1">
                  <c:v>0.2</c:v>
                </c:pt>
                <c:pt idx="2">
                  <c:v>0.6</c:v>
                </c:pt>
              </c:numCache>
            </c:numRef>
          </c:val>
          <c:extLst>
            <c:ext xmlns:c16="http://schemas.microsoft.com/office/drawing/2014/chart" uri="{C3380CC4-5D6E-409C-BE32-E72D297353CC}">
              <c16:uniqueId val="{00000000-5AE0-4B50-9A55-30F30549746F}"/>
            </c:ext>
          </c:extLst>
        </c:ser>
        <c:ser>
          <c:idx val="1"/>
          <c:order val="1"/>
          <c:tx>
            <c:v>Investor</c:v>
          </c:tx>
          <c:invertIfNegative val="0"/>
          <c:dLbls>
            <c:spPr>
              <a:noFill/>
              <a:ln>
                <a:noFill/>
              </a:ln>
              <a:effectLst/>
            </c:spPr>
            <c:txPr>
              <a:bodyPr/>
              <a:lstStyle/>
              <a:p>
                <a:pPr>
                  <a:defRPr sz="9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 3-Tier Waterfall'!$L$16:$L$18</c:f>
              <c:strCache>
                <c:ptCount val="3"/>
                <c:pt idx="0">
                  <c:v>Tier 1</c:v>
                </c:pt>
                <c:pt idx="1">
                  <c:v>Tier 2</c:v>
                </c:pt>
                <c:pt idx="2">
                  <c:v>Tier 3</c:v>
                </c:pt>
              </c:strCache>
            </c:strRef>
          </c:cat>
          <c:val>
            <c:numRef>
              <c:f>'5. 3-Tier Waterfall'!$N$16:$N$18</c:f>
              <c:numCache>
                <c:formatCode>0%</c:formatCode>
                <c:ptCount val="3"/>
                <c:pt idx="0">
                  <c:v>0.9</c:v>
                </c:pt>
                <c:pt idx="1">
                  <c:v>0.8</c:v>
                </c:pt>
                <c:pt idx="2">
                  <c:v>0.4</c:v>
                </c:pt>
              </c:numCache>
            </c:numRef>
          </c:val>
          <c:extLst>
            <c:ext xmlns:c16="http://schemas.microsoft.com/office/drawing/2014/chart" uri="{C3380CC4-5D6E-409C-BE32-E72D297353CC}">
              <c16:uniqueId val="{00000001-5AE0-4B50-9A55-30F30549746F}"/>
            </c:ext>
          </c:extLst>
        </c:ser>
        <c:dLbls>
          <c:showLegendKey val="0"/>
          <c:showVal val="1"/>
          <c:showCatName val="0"/>
          <c:showSerName val="0"/>
          <c:showPercent val="0"/>
          <c:showBubbleSize val="0"/>
        </c:dLbls>
        <c:gapWidth val="150"/>
        <c:overlap val="-25"/>
        <c:axId val="807276191"/>
        <c:axId val="1"/>
      </c:barChart>
      <c:catAx>
        <c:axId val="807276191"/>
        <c:scaling>
          <c:orientation val="minMax"/>
        </c:scaling>
        <c:delete val="0"/>
        <c:axPos val="b"/>
        <c:numFmt formatCode="General" sourceLinked="1"/>
        <c:majorTickMark val="none"/>
        <c:minorTickMark val="none"/>
        <c:tickLblPos val="nextTo"/>
        <c:txPr>
          <a:bodyPr/>
          <a:lstStyle/>
          <a:p>
            <a:pPr>
              <a:defRPr sz="1000"/>
            </a:pPr>
            <a:endParaRPr lang="en-US"/>
          </a:p>
        </c:txPr>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807276191"/>
        <c:crosses val="autoZero"/>
        <c:crossBetween val="between"/>
      </c:valAx>
    </c:plotArea>
    <c:legend>
      <c:legendPos val="r"/>
      <c:layout>
        <c:manualLayout>
          <c:xMode val="edge"/>
          <c:yMode val="edge"/>
          <c:x val="0.23700170321688363"/>
          <c:y val="0.14716196704525342"/>
          <c:w val="0.55493081728831295"/>
          <c:h val="0.11706065560417886"/>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Share of Cash Flows </a:t>
            </a:r>
          </a:p>
          <a:p>
            <a:pPr>
              <a:defRPr sz="1600"/>
            </a:pPr>
            <a:r>
              <a:rPr lang="en-US" sz="1600"/>
              <a:t>By Tier</a:t>
            </a:r>
          </a:p>
        </c:rich>
      </c:tx>
      <c:overlay val="0"/>
    </c:title>
    <c:autoTitleDeleted val="0"/>
    <c:plotArea>
      <c:layout/>
      <c:pieChart>
        <c:varyColors val="1"/>
        <c:ser>
          <c:idx val="0"/>
          <c:order val="0"/>
          <c:tx>
            <c:strRef>
              <c:f>'5. 3-Tier Waterfall'!$D$122</c:f>
              <c:strCache>
                <c:ptCount val="1"/>
                <c:pt idx="0">
                  <c:v>Share</c:v>
                </c:pt>
              </c:strCache>
            </c:strRef>
          </c:tx>
          <c:dPt>
            <c:idx val="0"/>
            <c:bubble3D val="0"/>
            <c:extLst>
              <c:ext xmlns:c16="http://schemas.microsoft.com/office/drawing/2014/chart" uri="{C3380CC4-5D6E-409C-BE32-E72D297353CC}">
                <c16:uniqueId val="{00000000-5843-48EA-B310-1CE8959ADAC3}"/>
              </c:ext>
            </c:extLst>
          </c:dPt>
          <c:dPt>
            <c:idx val="1"/>
            <c:bubble3D val="0"/>
            <c:extLst>
              <c:ext xmlns:c16="http://schemas.microsoft.com/office/drawing/2014/chart" uri="{C3380CC4-5D6E-409C-BE32-E72D297353CC}">
                <c16:uniqueId val="{00000001-5843-48EA-B310-1CE8959ADAC3}"/>
              </c:ext>
            </c:extLst>
          </c:dPt>
          <c:dPt>
            <c:idx val="2"/>
            <c:bubble3D val="0"/>
            <c:extLst>
              <c:ext xmlns:c16="http://schemas.microsoft.com/office/drawing/2014/chart" uri="{C3380CC4-5D6E-409C-BE32-E72D297353CC}">
                <c16:uniqueId val="{00000002-5843-48EA-B310-1CE8959ADAC3}"/>
              </c:ext>
            </c:extLst>
          </c:dPt>
          <c:dLbls>
            <c:spPr>
              <a:noFill/>
              <a:ln>
                <a:noFill/>
              </a:ln>
              <a:effectLst/>
            </c:spPr>
            <c:txPr>
              <a:bodyPr/>
              <a:lstStyle/>
              <a:p>
                <a:pPr>
                  <a:defRPr sz="1600"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'5. 3-Tier Waterfall'!$B$123:$B$125</c:f>
              <c:strCache>
                <c:ptCount val="3"/>
                <c:pt idx="0">
                  <c:v>Tier 1</c:v>
                </c:pt>
                <c:pt idx="1">
                  <c:v>Tier 2</c:v>
                </c:pt>
                <c:pt idx="2">
                  <c:v>Tier 3</c:v>
                </c:pt>
              </c:strCache>
            </c:strRef>
          </c:cat>
          <c:val>
            <c:numRef>
              <c:f>'5. 3-Tier Waterfall'!$D$123:$D$125</c:f>
              <c:numCache>
                <c:formatCode>0%</c:formatCode>
                <c:ptCount val="3"/>
                <c:pt idx="0">
                  <c:v>0.44411764705882351</c:v>
                </c:pt>
                <c:pt idx="1">
                  <c:v>0.17950367647058824</c:v>
                </c:pt>
                <c:pt idx="2">
                  <c:v>0.37637867647058826</c:v>
                </c:pt>
              </c:numCache>
            </c:numRef>
          </c:val>
          <c:extLst>
            <c:ext xmlns:c16="http://schemas.microsoft.com/office/drawing/2014/chart" uri="{C3380CC4-5D6E-409C-BE32-E72D297353CC}">
              <c16:uniqueId val="{00000003-5843-48EA-B310-1CE8959ADAC3}"/>
            </c:ext>
          </c:extLst>
        </c:ser>
        <c:ser>
          <c:idx val="1"/>
          <c:order val="1"/>
          <c:tx>
            <c:strRef>
              <c:f>'5. 3-Tier Waterfall'!$D$122</c:f>
              <c:strCache>
                <c:ptCount val="1"/>
                <c:pt idx="0">
                  <c:v>Share</c:v>
                </c:pt>
              </c:strCache>
            </c:strRef>
          </c:tx>
          <c:dPt>
            <c:idx val="0"/>
            <c:bubble3D val="0"/>
            <c:extLst>
              <c:ext xmlns:c16="http://schemas.microsoft.com/office/drawing/2014/chart" uri="{C3380CC4-5D6E-409C-BE32-E72D297353CC}">
                <c16:uniqueId val="{00000004-5843-48EA-B310-1CE8959ADAC3}"/>
              </c:ext>
            </c:extLst>
          </c:dPt>
          <c:dPt>
            <c:idx val="1"/>
            <c:bubble3D val="0"/>
            <c:extLst>
              <c:ext xmlns:c16="http://schemas.microsoft.com/office/drawing/2014/chart" uri="{C3380CC4-5D6E-409C-BE32-E72D297353CC}">
                <c16:uniqueId val="{00000005-5843-48EA-B310-1CE8959ADAC3}"/>
              </c:ext>
            </c:extLst>
          </c:dPt>
          <c:dPt>
            <c:idx val="2"/>
            <c:bubble3D val="0"/>
            <c:extLst>
              <c:ext xmlns:c16="http://schemas.microsoft.com/office/drawing/2014/chart" uri="{C3380CC4-5D6E-409C-BE32-E72D297353CC}">
                <c16:uniqueId val="{00000006-5843-48EA-B310-1CE8959ADAC3}"/>
              </c:ext>
            </c:extLst>
          </c:dPt>
          <c:cat>
            <c:strRef>
              <c:f>'5. 3-Tier Waterfall'!$B$123:$B$125</c:f>
              <c:strCache>
                <c:ptCount val="3"/>
                <c:pt idx="0">
                  <c:v>Tier 1</c:v>
                </c:pt>
                <c:pt idx="1">
                  <c:v>Tier 2</c:v>
                </c:pt>
                <c:pt idx="2">
                  <c:v>Tier 3</c:v>
                </c:pt>
              </c:strCache>
            </c:strRef>
          </c:cat>
          <c:val>
            <c:numRef>
              <c:f>'5. 3-Tier Waterfall'!$D$123:$D$125</c:f>
              <c:numCache>
                <c:formatCode>0%</c:formatCode>
                <c:ptCount val="3"/>
                <c:pt idx="0">
                  <c:v>0.44411764705882351</c:v>
                </c:pt>
                <c:pt idx="1">
                  <c:v>0.17950367647058824</c:v>
                </c:pt>
                <c:pt idx="2">
                  <c:v>0.37637867647058826</c:v>
                </c:pt>
              </c:numCache>
            </c:numRef>
          </c:val>
          <c:extLst>
            <c:ext xmlns:c16="http://schemas.microsoft.com/office/drawing/2014/chart" uri="{C3380CC4-5D6E-409C-BE32-E72D297353CC}">
              <c16:uniqueId val="{00000007-5843-48EA-B310-1CE8959ADAC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14609548884664009"/>
          <c:y val="0.28071116640153632"/>
          <c:w val="0.7037275659936747"/>
          <c:h val="9.8687519438040106E-2"/>
        </c:manualLayout>
      </c:layout>
      <c:overlay val="0"/>
      <c:txPr>
        <a:bodyPr/>
        <a:lstStyle/>
        <a:p>
          <a:pPr>
            <a:defRPr sz="1400"/>
          </a:pPr>
          <a:endParaRPr lang="en-US"/>
        </a:p>
      </c:txPr>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Share of Cash Flows At Each Tier</a:t>
            </a:r>
          </a:p>
        </c:rich>
      </c:tx>
      <c:layout>
        <c:manualLayout>
          <c:xMode val="edge"/>
          <c:yMode val="edge"/>
          <c:x val="0.17914658267716535"/>
          <c:y val="3.3333333333333333E-2"/>
        </c:manualLayout>
      </c:layout>
      <c:overlay val="0"/>
    </c:title>
    <c:autoTitleDeleted val="0"/>
    <c:plotArea>
      <c:layout>
        <c:manualLayout>
          <c:layoutTarget val="inner"/>
          <c:xMode val="edge"/>
          <c:yMode val="edge"/>
          <c:x val="2.3466666666666667E-2"/>
          <c:y val="0.25977427821522314"/>
          <c:w val="0.95306666666666662"/>
          <c:h val="0.53146194225721788"/>
        </c:manualLayout>
      </c:layout>
      <c:barChart>
        <c:barDir val="col"/>
        <c:grouping val="clustered"/>
        <c:varyColors val="0"/>
        <c:ser>
          <c:idx val="0"/>
          <c:order val="0"/>
          <c:tx>
            <c:v>Top-Level Sponsor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Double Promote Waterfall #1'!$I$5:$I$9</c:f>
              <c:strCache>
                <c:ptCount val="5"/>
                <c:pt idx="0">
                  <c:v>Tier 1</c:v>
                </c:pt>
                <c:pt idx="1">
                  <c:v>Tier 2</c:v>
                </c:pt>
                <c:pt idx="2">
                  <c:v>Tier 3</c:v>
                </c:pt>
                <c:pt idx="3">
                  <c:v>Tier 4</c:v>
                </c:pt>
                <c:pt idx="4">
                  <c:v>Tier 5</c:v>
                </c:pt>
              </c:strCache>
            </c:strRef>
          </c:cat>
          <c:val>
            <c:numRef>
              <c:f>'7. Double Promote Waterfall #1'!$P$5:$P$9</c:f>
              <c:numCache>
                <c:formatCode>0%</c:formatCode>
                <c:ptCount val="5"/>
                <c:pt idx="0">
                  <c:v>0.1</c:v>
                </c:pt>
                <c:pt idx="1">
                  <c:v>0.2</c:v>
                </c:pt>
                <c:pt idx="2">
                  <c:v>0.30000000000000004</c:v>
                </c:pt>
                <c:pt idx="3">
                  <c:v>0.4</c:v>
                </c:pt>
                <c:pt idx="4">
                  <c:v>0.6</c:v>
                </c:pt>
              </c:numCache>
            </c:numRef>
          </c:val>
          <c:extLst>
            <c:ext xmlns:c16="http://schemas.microsoft.com/office/drawing/2014/chart" uri="{C3380CC4-5D6E-409C-BE32-E72D297353CC}">
              <c16:uniqueId val="{00000000-D75E-4448-8789-D99A4FF74F43}"/>
            </c:ext>
          </c:extLst>
        </c:ser>
        <c:ser>
          <c:idx val="1"/>
          <c:order val="1"/>
          <c:tx>
            <c:v>Investor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Double Promote Waterfall #1'!$I$5:$I$9</c:f>
              <c:strCache>
                <c:ptCount val="5"/>
                <c:pt idx="0">
                  <c:v>Tier 1</c:v>
                </c:pt>
                <c:pt idx="1">
                  <c:v>Tier 2</c:v>
                </c:pt>
                <c:pt idx="2">
                  <c:v>Tier 3</c:v>
                </c:pt>
                <c:pt idx="3">
                  <c:v>Tier 4</c:v>
                </c:pt>
                <c:pt idx="4">
                  <c:v>Tier 5</c:v>
                </c:pt>
              </c:strCache>
            </c:strRef>
          </c:cat>
          <c:val>
            <c:numRef>
              <c:f>'7. Double Promote Waterfall #1'!$Q$5:$Q$9</c:f>
              <c:numCache>
                <c:formatCode>0%</c:formatCode>
                <c:ptCount val="5"/>
                <c:pt idx="0">
                  <c:v>0.9</c:v>
                </c:pt>
                <c:pt idx="1">
                  <c:v>0.8</c:v>
                </c:pt>
                <c:pt idx="2">
                  <c:v>0.7</c:v>
                </c:pt>
                <c:pt idx="3">
                  <c:v>0.6</c:v>
                </c:pt>
                <c:pt idx="4">
                  <c:v>0.4</c:v>
                </c:pt>
              </c:numCache>
            </c:numRef>
          </c:val>
          <c:extLst>
            <c:ext xmlns:c16="http://schemas.microsoft.com/office/drawing/2014/chart" uri="{C3380CC4-5D6E-409C-BE32-E72D297353CC}">
              <c16:uniqueId val="{00000001-D75E-4448-8789-D99A4FF74F43}"/>
            </c:ext>
          </c:extLst>
        </c:ser>
        <c:dLbls>
          <c:showLegendKey val="0"/>
          <c:showVal val="1"/>
          <c:showCatName val="0"/>
          <c:showSerName val="0"/>
          <c:showPercent val="0"/>
          <c:showBubbleSize val="0"/>
        </c:dLbls>
        <c:gapWidth val="150"/>
        <c:overlap val="-25"/>
        <c:axId val="807273791"/>
        <c:axId val="1"/>
      </c:barChart>
      <c:catAx>
        <c:axId val="807273791"/>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807273791"/>
        <c:crosses val="autoZero"/>
        <c:crossBetween val="between"/>
      </c:valAx>
    </c:plotArea>
    <c:legend>
      <c:legendPos val="r"/>
      <c:layout>
        <c:manualLayout>
          <c:xMode val="edge"/>
          <c:yMode val="edge"/>
          <c:x val="0.6094870462260461"/>
          <c:y val="6.2501978936863614E-2"/>
          <c:w val="0.30572974810691633"/>
          <c:h val="0.14583795085268178"/>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Share of Cash Flows At Each Tier</a:t>
            </a:r>
          </a:p>
        </c:rich>
      </c:tx>
      <c:layout>
        <c:manualLayout>
          <c:xMode val="edge"/>
          <c:yMode val="edge"/>
          <c:x val="0.17914658267716535"/>
          <c:y val="3.3333333333333333E-2"/>
        </c:manualLayout>
      </c:layout>
      <c:overlay val="0"/>
    </c:title>
    <c:autoTitleDeleted val="0"/>
    <c:plotArea>
      <c:layout>
        <c:manualLayout>
          <c:layoutTarget val="inner"/>
          <c:xMode val="edge"/>
          <c:yMode val="edge"/>
          <c:x val="2.346666666666667E-2"/>
          <c:y val="0.25977427821522325"/>
          <c:w val="0.95306666666666651"/>
          <c:h val="0.53146194225721766"/>
        </c:manualLayout>
      </c:layout>
      <c:barChart>
        <c:barDir val="col"/>
        <c:grouping val="clustered"/>
        <c:varyColors val="0"/>
        <c:ser>
          <c:idx val="0"/>
          <c:order val="0"/>
          <c:tx>
            <c:v>Top-Level Sponsor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Double Promote Waterfall #1'!$I$5:$I$9</c:f>
              <c:strCache>
                <c:ptCount val="5"/>
                <c:pt idx="0">
                  <c:v>Tier 1</c:v>
                </c:pt>
                <c:pt idx="1">
                  <c:v>Tier 2</c:v>
                </c:pt>
                <c:pt idx="2">
                  <c:v>Tier 3</c:v>
                </c:pt>
                <c:pt idx="3">
                  <c:v>Tier 4</c:v>
                </c:pt>
                <c:pt idx="4">
                  <c:v>Tier 5</c:v>
                </c:pt>
              </c:strCache>
            </c:strRef>
          </c:cat>
          <c:val>
            <c:numRef>
              <c:f>'7. Double Promote Waterfall #1'!$P$5:$P$9</c:f>
              <c:numCache>
                <c:formatCode>0%</c:formatCode>
                <c:ptCount val="5"/>
                <c:pt idx="0">
                  <c:v>0.1</c:v>
                </c:pt>
                <c:pt idx="1">
                  <c:v>0.2</c:v>
                </c:pt>
                <c:pt idx="2">
                  <c:v>0.30000000000000004</c:v>
                </c:pt>
                <c:pt idx="3">
                  <c:v>0.4</c:v>
                </c:pt>
                <c:pt idx="4">
                  <c:v>0.6</c:v>
                </c:pt>
              </c:numCache>
            </c:numRef>
          </c:val>
          <c:extLst>
            <c:ext xmlns:c16="http://schemas.microsoft.com/office/drawing/2014/chart" uri="{C3380CC4-5D6E-409C-BE32-E72D297353CC}">
              <c16:uniqueId val="{00000000-A70B-4D26-8CFE-A64DB74DBA43}"/>
            </c:ext>
          </c:extLst>
        </c:ser>
        <c:ser>
          <c:idx val="1"/>
          <c:order val="1"/>
          <c:tx>
            <c:v>Investor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Double Promote Waterfall #1'!$I$5:$I$9</c:f>
              <c:strCache>
                <c:ptCount val="5"/>
                <c:pt idx="0">
                  <c:v>Tier 1</c:v>
                </c:pt>
                <c:pt idx="1">
                  <c:v>Tier 2</c:v>
                </c:pt>
                <c:pt idx="2">
                  <c:v>Tier 3</c:v>
                </c:pt>
                <c:pt idx="3">
                  <c:v>Tier 4</c:v>
                </c:pt>
                <c:pt idx="4">
                  <c:v>Tier 5</c:v>
                </c:pt>
              </c:strCache>
            </c:strRef>
          </c:cat>
          <c:val>
            <c:numRef>
              <c:f>'7. Double Promote Waterfall #1'!$Q$5:$Q$9</c:f>
              <c:numCache>
                <c:formatCode>0%</c:formatCode>
                <c:ptCount val="5"/>
                <c:pt idx="0">
                  <c:v>0.9</c:v>
                </c:pt>
                <c:pt idx="1">
                  <c:v>0.8</c:v>
                </c:pt>
                <c:pt idx="2">
                  <c:v>0.7</c:v>
                </c:pt>
                <c:pt idx="3">
                  <c:v>0.6</c:v>
                </c:pt>
                <c:pt idx="4">
                  <c:v>0.4</c:v>
                </c:pt>
              </c:numCache>
            </c:numRef>
          </c:val>
          <c:extLst>
            <c:ext xmlns:c16="http://schemas.microsoft.com/office/drawing/2014/chart" uri="{C3380CC4-5D6E-409C-BE32-E72D297353CC}">
              <c16:uniqueId val="{00000001-A70B-4D26-8CFE-A64DB74DBA43}"/>
            </c:ext>
          </c:extLst>
        </c:ser>
        <c:dLbls>
          <c:showLegendKey val="0"/>
          <c:showVal val="1"/>
          <c:showCatName val="0"/>
          <c:showSerName val="0"/>
          <c:showPercent val="0"/>
          <c:showBubbleSize val="0"/>
        </c:dLbls>
        <c:gapWidth val="150"/>
        <c:overlap val="-25"/>
        <c:axId val="807274191"/>
        <c:axId val="1"/>
      </c:barChart>
      <c:catAx>
        <c:axId val="807274191"/>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807274191"/>
        <c:crosses val="autoZero"/>
        <c:crossBetween val="between"/>
      </c:valAx>
    </c:plotArea>
    <c:legend>
      <c:legendPos val="r"/>
      <c:layout>
        <c:manualLayout>
          <c:xMode val="edge"/>
          <c:yMode val="edge"/>
          <c:x val="0.6094870462260461"/>
          <c:y val="6.2501978936863614E-2"/>
          <c:w val="0.30572974810691633"/>
          <c:h val="0.14583795085268178"/>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Share of Cash Flows At Each Tier</a:t>
            </a:r>
          </a:p>
        </c:rich>
      </c:tx>
      <c:layout>
        <c:manualLayout>
          <c:xMode val="edge"/>
          <c:yMode val="edge"/>
          <c:x val="0.17914662121192848"/>
          <c:y val="3.3333667686443649E-2"/>
        </c:manualLayout>
      </c:layout>
      <c:overlay val="0"/>
    </c:title>
    <c:autoTitleDeleted val="0"/>
    <c:plotArea>
      <c:layout>
        <c:manualLayout>
          <c:layoutTarget val="inner"/>
          <c:xMode val="edge"/>
          <c:yMode val="edge"/>
          <c:x val="2.346666666666667E-2"/>
          <c:y val="0.25977427821522325"/>
          <c:w val="0.95306666666666651"/>
          <c:h val="0.53146194225721766"/>
        </c:manualLayout>
      </c:layout>
      <c:barChart>
        <c:barDir val="col"/>
        <c:grouping val="clustered"/>
        <c:varyColors val="0"/>
        <c:ser>
          <c:idx val="0"/>
          <c:order val="0"/>
          <c:tx>
            <c:v>Sponsor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 Double Promote Waterfall #2'!$I$5:$I$9</c:f>
              <c:strCache>
                <c:ptCount val="5"/>
                <c:pt idx="0">
                  <c:v>Tier 1</c:v>
                </c:pt>
                <c:pt idx="1">
                  <c:v>Tier 2</c:v>
                </c:pt>
                <c:pt idx="2">
                  <c:v>Tier 3</c:v>
                </c:pt>
                <c:pt idx="3">
                  <c:v>Tier 4</c:v>
                </c:pt>
                <c:pt idx="4">
                  <c:v>Tier 5</c:v>
                </c:pt>
              </c:strCache>
            </c:strRef>
          </c:cat>
          <c:val>
            <c:numRef>
              <c:f>'9. Double Promote Waterfall #2'!$P$5:$P$9</c:f>
              <c:numCache>
                <c:formatCode>0%</c:formatCode>
                <c:ptCount val="5"/>
                <c:pt idx="0">
                  <c:v>0.1</c:v>
                </c:pt>
                <c:pt idx="1">
                  <c:v>0.2</c:v>
                </c:pt>
                <c:pt idx="2">
                  <c:v>0.35</c:v>
                </c:pt>
                <c:pt idx="3">
                  <c:v>0.44999999999999996</c:v>
                </c:pt>
                <c:pt idx="4">
                  <c:v>0.6</c:v>
                </c:pt>
              </c:numCache>
            </c:numRef>
          </c:val>
          <c:extLst>
            <c:ext xmlns:c16="http://schemas.microsoft.com/office/drawing/2014/chart" uri="{C3380CC4-5D6E-409C-BE32-E72D297353CC}">
              <c16:uniqueId val="{00000000-A044-4D7F-BC01-E527E403BB00}"/>
            </c:ext>
          </c:extLst>
        </c:ser>
        <c:ser>
          <c:idx val="1"/>
          <c:order val="1"/>
          <c:tx>
            <c:v>Partner</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 Double Promote Waterfall #2'!$I$5:$I$9</c:f>
              <c:strCache>
                <c:ptCount val="5"/>
                <c:pt idx="0">
                  <c:v>Tier 1</c:v>
                </c:pt>
                <c:pt idx="1">
                  <c:v>Tier 2</c:v>
                </c:pt>
                <c:pt idx="2">
                  <c:v>Tier 3</c:v>
                </c:pt>
                <c:pt idx="3">
                  <c:v>Tier 4</c:v>
                </c:pt>
                <c:pt idx="4">
                  <c:v>Tier 5</c:v>
                </c:pt>
              </c:strCache>
            </c:strRef>
          </c:cat>
          <c:val>
            <c:numRef>
              <c:f>'9. Double Promote Waterfall #2'!$Q$5:$Q$9</c:f>
              <c:numCache>
                <c:formatCode>0%</c:formatCode>
                <c:ptCount val="5"/>
                <c:pt idx="0">
                  <c:v>0.9</c:v>
                </c:pt>
                <c:pt idx="1">
                  <c:v>0.8</c:v>
                </c:pt>
                <c:pt idx="2">
                  <c:v>0.65</c:v>
                </c:pt>
                <c:pt idx="3">
                  <c:v>0.55000000000000004</c:v>
                </c:pt>
                <c:pt idx="4">
                  <c:v>0.4</c:v>
                </c:pt>
              </c:numCache>
            </c:numRef>
          </c:val>
          <c:extLst>
            <c:ext xmlns:c16="http://schemas.microsoft.com/office/drawing/2014/chart" uri="{C3380CC4-5D6E-409C-BE32-E72D297353CC}">
              <c16:uniqueId val="{00000001-A044-4D7F-BC01-E527E403BB00}"/>
            </c:ext>
          </c:extLst>
        </c:ser>
        <c:dLbls>
          <c:showLegendKey val="0"/>
          <c:showVal val="1"/>
          <c:showCatName val="0"/>
          <c:showSerName val="0"/>
          <c:showPercent val="0"/>
          <c:showBubbleSize val="0"/>
        </c:dLbls>
        <c:gapWidth val="150"/>
        <c:overlap val="-25"/>
        <c:axId val="807277791"/>
        <c:axId val="1"/>
      </c:barChart>
      <c:catAx>
        <c:axId val="807277791"/>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807277791"/>
        <c:crosses val="autoZero"/>
        <c:crossBetween val="between"/>
      </c:valAx>
    </c:plotArea>
    <c:legend>
      <c:legendPos val="r"/>
      <c:layout>
        <c:manualLayout>
          <c:xMode val="edge"/>
          <c:yMode val="edge"/>
          <c:x val="0.61196005183843671"/>
          <c:y val="6.3832091677594946E-2"/>
          <c:w val="0.30647755441664798"/>
          <c:h val="0.14894154724772155"/>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Garamond"/>
                <a:ea typeface="Garamond"/>
                <a:cs typeface="Garamond"/>
              </a:defRPr>
            </a:pPr>
            <a:r>
              <a:rPr lang="en-US"/>
              <a:t>Share of Total Equity Investment</a:t>
            </a:r>
          </a:p>
        </c:rich>
      </c:tx>
      <c:overlay val="0"/>
      <c:spPr>
        <a:noFill/>
        <a:ln w="25400">
          <a:noFill/>
        </a:ln>
      </c:spPr>
    </c:title>
    <c:autoTitleDeleted val="0"/>
    <c:plotArea>
      <c:layout>
        <c:manualLayout>
          <c:layoutTarget val="inner"/>
          <c:xMode val="edge"/>
          <c:yMode val="edge"/>
          <c:x val="0.35798182453986888"/>
          <c:y val="0.37846089569507185"/>
          <c:w val="0.27677298471369488"/>
          <c:h val="0.45799253319620981"/>
        </c:manualLayout>
      </c:layout>
      <c:pieChart>
        <c:varyColors val="1"/>
        <c:ser>
          <c:idx val="0"/>
          <c:order val="0"/>
          <c:dPt>
            <c:idx val="0"/>
            <c:bubble3D val="0"/>
            <c:extLst>
              <c:ext xmlns:c16="http://schemas.microsoft.com/office/drawing/2014/chart" uri="{C3380CC4-5D6E-409C-BE32-E72D297353CC}">
                <c16:uniqueId val="{00000000-A04F-46C7-A4D6-E1A2803F46BB}"/>
              </c:ext>
            </c:extLst>
          </c:dPt>
          <c:dPt>
            <c:idx val="1"/>
            <c:bubble3D val="0"/>
            <c:extLst>
              <c:ext xmlns:c16="http://schemas.microsoft.com/office/drawing/2014/chart" uri="{C3380CC4-5D6E-409C-BE32-E72D297353CC}">
                <c16:uniqueId val="{00000001-A04F-46C7-A4D6-E1A2803F46BB}"/>
              </c:ext>
            </c:extLst>
          </c:dPt>
          <c:dLbls>
            <c:dLbl>
              <c:idx val="0"/>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extLst>
                <c:ext xmlns:c16="http://schemas.microsoft.com/office/drawing/2014/chart" uri="{C3380CC4-5D6E-409C-BE32-E72D297353CC}">
                  <c16:uniqueId val="{00000000-A04F-46C7-A4D6-E1A2803F46BB}"/>
                </c:ext>
              </c:extLst>
            </c:dLbl>
            <c:dLbl>
              <c:idx val="1"/>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extLst>
                <c:ext xmlns:c16="http://schemas.microsoft.com/office/drawing/2014/chart" uri="{C3380CC4-5D6E-409C-BE32-E72D297353CC}">
                  <c16:uniqueId val="{00000001-A04F-46C7-A4D6-E1A2803F46BB}"/>
                </c:ext>
              </c:extLst>
            </c:dLbl>
            <c:spPr>
              <a:noFill/>
              <a:ln w="25400">
                <a:noFill/>
              </a:ln>
            </c:spPr>
            <c:txPr>
              <a:bodyPr wrap="square" lIns="38100" tIns="19050" rIns="38100" bIns="19050" anchor="ctr">
                <a:spAutoFit/>
              </a:bodyPr>
              <a:lstStyle/>
              <a:p>
                <a:pPr>
                  <a:defRPr sz="2000" b="1" i="0" u="none" strike="noStrike" baseline="0">
                    <a:solidFill>
                      <a:srgbClr val="000000"/>
                    </a:solidFill>
                    <a:latin typeface="Garamond"/>
                    <a:ea typeface="Garamond"/>
                    <a:cs typeface="Garamond"/>
                  </a:defRPr>
                </a:pPr>
                <a:endParaRPr lang="en-US"/>
              </a:p>
            </c:tx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Lit>
              <c:ptCount val="2"/>
              <c:pt idx="0">
                <c:v>Top-Level Sponsor</c:v>
              </c:pt>
              <c:pt idx="1">
                <c:v>Third Party Investor</c:v>
              </c:pt>
            </c:strLit>
          </c:cat>
          <c:val>
            <c:numRef>
              <c:f>('10. Returns Exhibit'!$F$24,'10. Returns Exhibit'!$J$24)</c:f>
              <c:numCache>
                <c:formatCode>0%</c:formatCode>
                <c:ptCount val="2"/>
                <c:pt idx="0">
                  <c:v>0.1</c:v>
                </c:pt>
                <c:pt idx="1">
                  <c:v>0.9</c:v>
                </c:pt>
              </c:numCache>
            </c:numRef>
          </c:val>
          <c:extLst>
            <c:ext xmlns:c16="http://schemas.microsoft.com/office/drawing/2014/chart" uri="{C3380CC4-5D6E-409C-BE32-E72D297353CC}">
              <c16:uniqueId val="{00000002-A04F-46C7-A4D6-E1A2803F46BB}"/>
            </c:ext>
          </c:extLst>
        </c:ser>
        <c:dLbls>
          <c:showLegendKey val="0"/>
          <c:showVal val="0"/>
          <c:showCatName val="0"/>
          <c:showSerName val="0"/>
          <c:showPercent val="1"/>
          <c:showBubbleSize val="0"/>
          <c:showLeaderLines val="1"/>
        </c:dLbls>
        <c:firstSliceAng val="0"/>
      </c:pieChart>
      <c:spPr>
        <a:noFill/>
        <a:ln w="25400">
          <a:noFill/>
        </a:ln>
      </c:spPr>
    </c:plotArea>
    <c:legend>
      <c:legendPos val="r"/>
      <c:layout>
        <c:manualLayout>
          <c:xMode val="edge"/>
          <c:yMode val="edge"/>
          <c:x val="0.19608444009661488"/>
          <c:y val="0.16206800734154836"/>
          <c:w val="0.58412522681412637"/>
          <c:h val="0.16390968924315685"/>
        </c:manualLayout>
      </c:layout>
      <c:overlay val="0"/>
      <c:txPr>
        <a:bodyPr/>
        <a:lstStyle/>
        <a:p>
          <a:pPr>
            <a:defRPr sz="1400" b="0" i="0" u="none" strike="noStrike" baseline="0">
              <a:solidFill>
                <a:srgbClr val="000000"/>
              </a:solidFill>
              <a:latin typeface="Garamond"/>
              <a:ea typeface="Garamond"/>
              <a:cs typeface="Garamond"/>
            </a:defRPr>
          </a:pPr>
          <a:endParaRPr lang="en-US"/>
        </a:p>
      </c:txPr>
    </c:legend>
    <c:plotVisOnly val="1"/>
    <c:dispBlanksAs val="zero"/>
    <c:showDLblsOverMax val="0"/>
  </c:chart>
  <c:txPr>
    <a:bodyPr/>
    <a:lstStyle/>
    <a:p>
      <a:pPr>
        <a:defRPr sz="1000" b="0" i="0" u="none" strike="noStrike" baseline="0">
          <a:solidFill>
            <a:srgbClr val="000000"/>
          </a:solidFill>
          <a:latin typeface="Garamond"/>
          <a:ea typeface="Garamond"/>
          <a:cs typeface="Garamond"/>
        </a:defRPr>
      </a:pPr>
      <a:endParaRPr lang="en-US"/>
    </a:p>
  </c:txPr>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Garamond"/>
                <a:ea typeface="Garamond"/>
                <a:cs typeface="Garamond"/>
              </a:defRPr>
            </a:pPr>
            <a:r>
              <a:rPr lang="en-US"/>
              <a:t>Share of Total Profit</a:t>
            </a:r>
          </a:p>
        </c:rich>
      </c:tx>
      <c:overlay val="0"/>
      <c:spPr>
        <a:noFill/>
        <a:ln w="25400">
          <a:noFill/>
        </a:ln>
      </c:spPr>
    </c:title>
    <c:autoTitleDeleted val="0"/>
    <c:plotArea>
      <c:layout>
        <c:manualLayout>
          <c:layoutTarget val="inner"/>
          <c:xMode val="edge"/>
          <c:yMode val="edge"/>
          <c:x val="0.35497427774958146"/>
          <c:y val="0.3693878462162119"/>
          <c:w val="0.27831316612291124"/>
          <c:h val="0.45694644680079527"/>
        </c:manualLayout>
      </c:layout>
      <c:pieChart>
        <c:varyColors val="1"/>
        <c:ser>
          <c:idx val="0"/>
          <c:order val="0"/>
          <c:dPt>
            <c:idx val="0"/>
            <c:bubble3D val="0"/>
            <c:extLst>
              <c:ext xmlns:c16="http://schemas.microsoft.com/office/drawing/2014/chart" uri="{C3380CC4-5D6E-409C-BE32-E72D297353CC}">
                <c16:uniqueId val="{00000000-07F7-4629-95CB-9A18959D450C}"/>
              </c:ext>
            </c:extLst>
          </c:dPt>
          <c:dPt>
            <c:idx val="1"/>
            <c:bubble3D val="0"/>
            <c:extLst>
              <c:ext xmlns:c16="http://schemas.microsoft.com/office/drawing/2014/chart" uri="{C3380CC4-5D6E-409C-BE32-E72D297353CC}">
                <c16:uniqueId val="{00000001-07F7-4629-95CB-9A18959D450C}"/>
              </c:ext>
            </c:extLst>
          </c:dPt>
          <c:dLbls>
            <c:dLbl>
              <c:idx val="0"/>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extLst>
                <c:ext xmlns:c16="http://schemas.microsoft.com/office/drawing/2014/chart" uri="{C3380CC4-5D6E-409C-BE32-E72D297353CC}">
                  <c16:uniqueId val="{00000000-07F7-4629-95CB-9A18959D450C}"/>
                </c:ext>
              </c:extLst>
            </c:dLbl>
            <c:dLbl>
              <c:idx val="1"/>
              <c:spPr>
                <a:noFill/>
                <a:ln w="25400">
                  <a:noFill/>
                </a:ln>
              </c:spPr>
              <c:txPr>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extLst>
                <c:ext xmlns:c16="http://schemas.microsoft.com/office/drawing/2014/chart" uri="{C3380CC4-5D6E-409C-BE32-E72D297353CC}">
                  <c16:uniqueId val="{00000001-07F7-4629-95CB-9A18959D450C}"/>
                </c:ext>
              </c:extLst>
            </c:dLbl>
            <c:spPr>
              <a:noFill/>
              <a:ln w="25400">
                <a:noFill/>
              </a:ln>
            </c:spPr>
            <c:txPr>
              <a:bodyPr wrap="square" lIns="38100" tIns="19050" rIns="38100" bIns="19050" anchor="ctr">
                <a:spAutoFit/>
              </a:bodyPr>
              <a:lstStyle/>
              <a:p>
                <a:pPr>
                  <a:defRPr sz="2000" b="1" i="0" u="none" strike="noStrike" baseline="0">
                    <a:solidFill>
                      <a:srgbClr val="000000"/>
                    </a:solidFill>
                    <a:latin typeface="Garamond"/>
                    <a:ea typeface="Garamond"/>
                    <a:cs typeface="Garamond"/>
                  </a:defRPr>
                </a:pPr>
                <a:endParaRPr lang="en-US"/>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Lit>
              <c:ptCount val="2"/>
              <c:pt idx="0">
                <c:v>Top-Level Sponsor</c:v>
              </c:pt>
              <c:pt idx="1">
                <c:v>Third Party Investor</c:v>
              </c:pt>
            </c:strLit>
          </c:cat>
          <c:val>
            <c:numRef>
              <c:f>('10. Returns Exhibit'!$F$25,'10. Returns Exhibit'!$J$25)</c:f>
              <c:numCache>
                <c:formatCode>0%</c:formatCode>
                <c:ptCount val="2"/>
                <c:pt idx="0">
                  <c:v>0.52697392961152301</c:v>
                </c:pt>
                <c:pt idx="1">
                  <c:v>0.47302607038847699</c:v>
                </c:pt>
              </c:numCache>
            </c:numRef>
          </c:val>
          <c:extLst>
            <c:ext xmlns:c16="http://schemas.microsoft.com/office/drawing/2014/chart" uri="{C3380CC4-5D6E-409C-BE32-E72D297353CC}">
              <c16:uniqueId val="{00000002-07F7-4629-95CB-9A18959D450C}"/>
            </c:ext>
          </c:extLst>
        </c:ser>
        <c:dLbls>
          <c:showLegendKey val="0"/>
          <c:showVal val="0"/>
          <c:showCatName val="0"/>
          <c:showSerName val="0"/>
          <c:showPercent val="1"/>
          <c:showBubbleSize val="0"/>
          <c:showLeaderLines val="1"/>
        </c:dLbls>
        <c:firstSliceAng val="0"/>
      </c:pieChart>
      <c:spPr>
        <a:noFill/>
        <a:ln w="25400">
          <a:noFill/>
        </a:ln>
      </c:spPr>
    </c:plotArea>
    <c:legend>
      <c:legendPos val="r"/>
      <c:layout>
        <c:manualLayout>
          <c:xMode val="edge"/>
          <c:yMode val="edge"/>
          <c:x val="0.19095110501113463"/>
          <c:y val="0.15625526817636906"/>
          <c:w val="0.58860185977659019"/>
          <c:h val="0.17831483544832705"/>
        </c:manualLayout>
      </c:layout>
      <c:overlay val="0"/>
      <c:txPr>
        <a:bodyPr/>
        <a:lstStyle/>
        <a:p>
          <a:pPr>
            <a:defRPr sz="1400" b="0" i="0" u="none" strike="noStrike" baseline="0">
              <a:solidFill>
                <a:srgbClr val="000000"/>
              </a:solidFill>
              <a:latin typeface="Garamond"/>
              <a:ea typeface="Garamond"/>
              <a:cs typeface="Garamond"/>
            </a:defRPr>
          </a:pPr>
          <a:endParaRPr lang="en-US"/>
        </a:p>
      </c:txPr>
    </c:legend>
    <c:plotVisOnly val="1"/>
    <c:dispBlanksAs val="zero"/>
    <c:showDLblsOverMax val="0"/>
  </c:chart>
  <c:txPr>
    <a:bodyPr/>
    <a:lstStyle/>
    <a:p>
      <a:pPr>
        <a:defRPr sz="1000" b="0" i="0" u="none" strike="noStrike" baseline="0">
          <a:solidFill>
            <a:srgbClr val="000000"/>
          </a:solidFill>
          <a:latin typeface="Garamond"/>
          <a:ea typeface="Garamond"/>
          <a:cs typeface="Garamond"/>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emf"/><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63500</xdr:colOff>
      <xdr:row>5</xdr:row>
      <xdr:rowOff>95250</xdr:rowOff>
    </xdr:from>
    <xdr:to>
      <xdr:col>4</xdr:col>
      <xdr:colOff>698500</xdr:colOff>
      <xdr:row>9</xdr:row>
      <xdr:rowOff>101600</xdr:rowOff>
    </xdr:to>
    <xdr:pic>
      <xdr:nvPicPr>
        <xdr:cNvPr id="5487" name="Picture 1" descr="REFM.jpg">
          <a:extLst>
            <a:ext uri="{FF2B5EF4-FFF2-40B4-BE49-F238E27FC236}">
              <a16:creationId xmlns:a16="http://schemas.microsoft.com/office/drawing/2014/main" id="{14F99E51-6001-438C-B7DD-498CA173AE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2350" y="1225550"/>
          <a:ext cx="1377950" cy="90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831850</xdr:colOff>
      <xdr:row>9</xdr:row>
      <xdr:rowOff>107950</xdr:rowOff>
    </xdr:from>
    <xdr:to>
      <xdr:col>14</xdr:col>
      <xdr:colOff>660400</xdr:colOff>
      <xdr:row>9</xdr:row>
      <xdr:rowOff>1600200</xdr:rowOff>
    </xdr:to>
    <xdr:graphicFrame macro="">
      <xdr:nvGraphicFramePr>
        <xdr:cNvPr id="105589" name="Chart 1">
          <a:extLst>
            <a:ext uri="{FF2B5EF4-FFF2-40B4-BE49-F238E27FC236}">
              <a16:creationId xmlns:a16="http://schemas.microsoft.com/office/drawing/2014/main" id="{F9C24E81-18E6-4D3B-9C0B-2430EAF5F1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63500</xdr:colOff>
      <xdr:row>9</xdr:row>
      <xdr:rowOff>38100</xdr:rowOff>
    </xdr:from>
    <xdr:to>
      <xdr:col>8</xdr:col>
      <xdr:colOff>641350</xdr:colOff>
      <xdr:row>9</xdr:row>
      <xdr:rowOff>1600200</xdr:rowOff>
    </xdr:to>
    <xdr:pic>
      <xdr:nvPicPr>
        <xdr:cNvPr id="105590" name="Picture 2">
          <a:extLst>
            <a:ext uri="{FF2B5EF4-FFF2-40B4-BE49-F238E27FC236}">
              <a16:creationId xmlns:a16="http://schemas.microsoft.com/office/drawing/2014/main" id="{D53A7E18-F0F8-4E6E-839D-8884AF2B0A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7650" y="2070100"/>
          <a:ext cx="34861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615950</xdr:colOff>
      <xdr:row>2</xdr:row>
      <xdr:rowOff>19050</xdr:rowOff>
    </xdr:from>
    <xdr:to>
      <xdr:col>21</xdr:col>
      <xdr:colOff>736600</xdr:colOff>
      <xdr:row>12</xdr:row>
      <xdr:rowOff>209550</xdr:rowOff>
    </xdr:to>
    <xdr:graphicFrame macro="">
      <xdr:nvGraphicFramePr>
        <xdr:cNvPr id="2557152" name="Chart 5">
          <a:extLst>
            <a:ext uri="{FF2B5EF4-FFF2-40B4-BE49-F238E27FC236}">
              <a16:creationId xmlns:a16="http://schemas.microsoft.com/office/drawing/2014/main" id="{B8A7C625-1473-4EFD-8761-C57C8D9F2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50800</xdr:colOff>
      <xdr:row>2</xdr:row>
      <xdr:rowOff>6350</xdr:rowOff>
    </xdr:from>
    <xdr:to>
      <xdr:col>30</xdr:col>
      <xdr:colOff>558800</xdr:colOff>
      <xdr:row>12</xdr:row>
      <xdr:rowOff>203200</xdr:rowOff>
    </xdr:to>
    <xdr:graphicFrame macro="">
      <xdr:nvGraphicFramePr>
        <xdr:cNvPr id="2557153" name="Chart 6">
          <a:extLst>
            <a:ext uri="{FF2B5EF4-FFF2-40B4-BE49-F238E27FC236}">
              <a16:creationId xmlns:a16="http://schemas.microsoft.com/office/drawing/2014/main" id="{0ADE4688-263D-4D02-8948-9C380E4A2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133350</xdr:colOff>
      <xdr:row>13</xdr:row>
      <xdr:rowOff>127000</xdr:rowOff>
    </xdr:from>
    <xdr:to>
      <xdr:col>30</xdr:col>
      <xdr:colOff>609600</xdr:colOff>
      <xdr:row>23</xdr:row>
      <xdr:rowOff>120650</xdr:rowOff>
    </xdr:to>
    <xdr:graphicFrame macro="">
      <xdr:nvGraphicFramePr>
        <xdr:cNvPr id="2557154" name="Chart 11">
          <a:extLst>
            <a:ext uri="{FF2B5EF4-FFF2-40B4-BE49-F238E27FC236}">
              <a16:creationId xmlns:a16="http://schemas.microsoft.com/office/drawing/2014/main" id="{0F301B7E-116E-4EB3-B675-2323E0360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82550</xdr:colOff>
      <xdr:row>24</xdr:row>
      <xdr:rowOff>165100</xdr:rowOff>
    </xdr:from>
    <xdr:to>
      <xdr:col>30</xdr:col>
      <xdr:colOff>628650</xdr:colOff>
      <xdr:row>37</xdr:row>
      <xdr:rowOff>171450</xdr:rowOff>
    </xdr:to>
    <xdr:graphicFrame macro="">
      <xdr:nvGraphicFramePr>
        <xdr:cNvPr id="2557155" name="Chart 5">
          <a:extLst>
            <a:ext uri="{FF2B5EF4-FFF2-40B4-BE49-F238E27FC236}">
              <a16:creationId xmlns:a16="http://schemas.microsoft.com/office/drawing/2014/main" id="{F02E07C2-ADBD-4490-805E-BBC9A711A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82550</xdr:colOff>
      <xdr:row>38</xdr:row>
      <xdr:rowOff>44450</xdr:rowOff>
    </xdr:from>
    <xdr:to>
      <xdr:col>30</xdr:col>
      <xdr:colOff>596900</xdr:colOff>
      <xdr:row>52</xdr:row>
      <xdr:rowOff>203200</xdr:rowOff>
    </xdr:to>
    <xdr:graphicFrame macro="">
      <xdr:nvGraphicFramePr>
        <xdr:cNvPr id="2557156" name="Chart 6">
          <a:extLst>
            <a:ext uri="{FF2B5EF4-FFF2-40B4-BE49-F238E27FC236}">
              <a16:creationId xmlns:a16="http://schemas.microsoft.com/office/drawing/2014/main" id="{3DE25360-DD03-4EB7-9F60-2F3BE86533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209550</xdr:colOff>
      <xdr:row>10</xdr:row>
      <xdr:rowOff>69850</xdr:rowOff>
    </xdr:from>
    <xdr:to>
      <xdr:col>8</xdr:col>
      <xdr:colOff>393700</xdr:colOff>
      <xdr:row>11</xdr:row>
      <xdr:rowOff>12700</xdr:rowOff>
    </xdr:to>
    <xdr:pic>
      <xdr:nvPicPr>
        <xdr:cNvPr id="2864253" name="Picture 2">
          <a:extLst>
            <a:ext uri="{FF2B5EF4-FFF2-40B4-BE49-F238E27FC236}">
              <a16:creationId xmlns:a16="http://schemas.microsoft.com/office/drawing/2014/main" id="{6F6A2CCB-0D42-4F40-B9AD-F846BB684D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0300" y="2317750"/>
          <a:ext cx="34861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946150</xdr:colOff>
      <xdr:row>10</xdr:row>
      <xdr:rowOff>107950</xdr:rowOff>
    </xdr:from>
    <xdr:to>
      <xdr:col>14</xdr:col>
      <xdr:colOff>831850</xdr:colOff>
      <xdr:row>10</xdr:row>
      <xdr:rowOff>1600200</xdr:rowOff>
    </xdr:to>
    <xdr:graphicFrame macro="">
      <xdr:nvGraphicFramePr>
        <xdr:cNvPr id="2864254" name="Chart 2">
          <a:extLst>
            <a:ext uri="{FF2B5EF4-FFF2-40B4-BE49-F238E27FC236}">
              <a16:creationId xmlns:a16="http://schemas.microsoft.com/office/drawing/2014/main" id="{26C0C5B3-6D56-44C1-A73B-AC9E67E4F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46037</xdr:colOff>
      <xdr:row>41</xdr:row>
      <xdr:rowOff>63500</xdr:rowOff>
    </xdr:from>
    <xdr:to>
      <xdr:col>9</xdr:col>
      <xdr:colOff>117475</xdr:colOff>
      <xdr:row>43</xdr:row>
      <xdr:rowOff>95250</xdr:rowOff>
    </xdr:to>
    <xdr:sp macro="" textlink="">
      <xdr:nvSpPr>
        <xdr:cNvPr id="5" name="Oval 4">
          <a:extLst>
            <a:ext uri="{FF2B5EF4-FFF2-40B4-BE49-F238E27FC236}">
              <a16:creationId xmlns:a16="http://schemas.microsoft.com/office/drawing/2014/main" id="{89905D35-6DAC-4F99-9AB7-496FAA0FB8AE}"/>
            </a:ext>
          </a:extLst>
        </xdr:cNvPr>
        <xdr:cNvSpPr/>
      </xdr:nvSpPr>
      <xdr:spPr>
        <a:xfrm>
          <a:off x="7366000" y="8755063"/>
          <a:ext cx="2341563" cy="381000"/>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109537</xdr:colOff>
      <xdr:row>68</xdr:row>
      <xdr:rowOff>493713</xdr:rowOff>
    </xdr:from>
    <xdr:to>
      <xdr:col>9</xdr:col>
      <xdr:colOff>187349</xdr:colOff>
      <xdr:row>70</xdr:row>
      <xdr:rowOff>80963</xdr:rowOff>
    </xdr:to>
    <xdr:sp macro="" textlink="">
      <xdr:nvSpPr>
        <xdr:cNvPr id="6" name="Oval 5">
          <a:extLst>
            <a:ext uri="{FF2B5EF4-FFF2-40B4-BE49-F238E27FC236}">
              <a16:creationId xmlns:a16="http://schemas.microsoft.com/office/drawing/2014/main" id="{9B6944E8-6C15-42E2-B28A-9AD6E5ADD579}"/>
            </a:ext>
          </a:extLst>
        </xdr:cNvPr>
        <xdr:cNvSpPr/>
      </xdr:nvSpPr>
      <xdr:spPr>
        <a:xfrm>
          <a:off x="7429500" y="13652501"/>
          <a:ext cx="2341563" cy="381000"/>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61912</xdr:colOff>
      <xdr:row>20</xdr:row>
      <xdr:rowOff>71437</xdr:rowOff>
    </xdr:from>
    <xdr:to>
      <xdr:col>9</xdr:col>
      <xdr:colOff>133350</xdr:colOff>
      <xdr:row>22</xdr:row>
      <xdr:rowOff>103187</xdr:rowOff>
    </xdr:to>
    <xdr:sp macro="" textlink="">
      <xdr:nvSpPr>
        <xdr:cNvPr id="7" name="Oval 6">
          <a:extLst>
            <a:ext uri="{FF2B5EF4-FFF2-40B4-BE49-F238E27FC236}">
              <a16:creationId xmlns:a16="http://schemas.microsoft.com/office/drawing/2014/main" id="{49E088FE-06F5-495C-9710-55166D1018E3}"/>
            </a:ext>
          </a:extLst>
        </xdr:cNvPr>
        <xdr:cNvSpPr/>
      </xdr:nvSpPr>
      <xdr:spPr>
        <a:xfrm>
          <a:off x="7381875" y="5334000"/>
          <a:ext cx="2341563" cy="381000"/>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1043353</xdr:colOff>
      <xdr:row>20</xdr:row>
      <xdr:rowOff>184150</xdr:rowOff>
    </xdr:from>
    <xdr:to>
      <xdr:col>6</xdr:col>
      <xdr:colOff>246075</xdr:colOff>
      <xdr:row>22</xdr:row>
      <xdr:rowOff>58645</xdr:rowOff>
    </xdr:to>
    <xdr:sp macro="" textlink="">
      <xdr:nvSpPr>
        <xdr:cNvPr id="2" name="TextBox 1">
          <a:extLst>
            <a:ext uri="{FF2B5EF4-FFF2-40B4-BE49-F238E27FC236}">
              <a16:creationId xmlns:a16="http://schemas.microsoft.com/office/drawing/2014/main" id="{2E8DAD4A-36C8-4324-978D-C3621F3DCBAE}"/>
            </a:ext>
          </a:extLst>
        </xdr:cNvPr>
        <xdr:cNvSpPr txBox="1"/>
      </xdr:nvSpPr>
      <xdr:spPr>
        <a:xfrm>
          <a:off x="4322884" y="3868615"/>
          <a:ext cx="1370135" cy="351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lang="en-US" sz="1400">
              <a:latin typeface="Garamond" pitchFamily="18" charset="0"/>
            </a:rPr>
            <a:t>Preferred Return</a:t>
          </a:r>
        </a:p>
      </xdr:txBody>
    </xdr:sp>
    <xdr:clientData/>
  </xdr:twoCellAnchor>
  <xdr:twoCellAnchor>
    <xdr:from>
      <xdr:col>5</xdr:col>
      <xdr:colOff>617112</xdr:colOff>
      <xdr:row>19</xdr:row>
      <xdr:rowOff>64782</xdr:rowOff>
    </xdr:from>
    <xdr:to>
      <xdr:col>5</xdr:col>
      <xdr:colOff>618700</xdr:colOff>
      <xdr:row>20</xdr:row>
      <xdr:rowOff>94091</xdr:rowOff>
    </xdr:to>
    <xdr:cxnSp macro="">
      <xdr:nvCxnSpPr>
        <xdr:cNvPr id="4" name="Straight Arrow Connector 3">
          <a:extLst>
            <a:ext uri="{FF2B5EF4-FFF2-40B4-BE49-F238E27FC236}">
              <a16:creationId xmlns:a16="http://schemas.microsoft.com/office/drawing/2014/main" id="{CF11A44D-BE70-4891-8834-8CC9273E1561}"/>
            </a:ext>
          </a:extLst>
        </xdr:cNvPr>
        <xdr:cNvCxnSpPr/>
      </xdr:nvCxnSpPr>
      <xdr:spPr>
        <a:xfrm rot="5400000" flipH="1" flipV="1">
          <a:off x="4826001" y="3640993"/>
          <a:ext cx="270609"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930763</xdr:colOff>
      <xdr:row>31</xdr:row>
      <xdr:rowOff>222311</xdr:rowOff>
    </xdr:from>
    <xdr:to>
      <xdr:col>6</xdr:col>
      <xdr:colOff>179</xdr:colOff>
      <xdr:row>33</xdr:row>
      <xdr:rowOff>86765</xdr:rowOff>
    </xdr:to>
    <xdr:sp macro="" textlink="">
      <xdr:nvSpPr>
        <xdr:cNvPr id="2" name="TextBox 1">
          <a:extLst>
            <a:ext uri="{FF2B5EF4-FFF2-40B4-BE49-F238E27FC236}">
              <a16:creationId xmlns:a16="http://schemas.microsoft.com/office/drawing/2014/main" id="{CF71E53A-E942-42F4-AEB4-69A002928F4E}"/>
            </a:ext>
          </a:extLst>
        </xdr:cNvPr>
        <xdr:cNvSpPr txBox="1"/>
      </xdr:nvSpPr>
      <xdr:spPr>
        <a:xfrm>
          <a:off x="5266226" y="6713599"/>
          <a:ext cx="1380863" cy="340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lang="en-US" sz="1400">
              <a:latin typeface="Garamond" pitchFamily="18" charset="0"/>
            </a:rPr>
            <a:t>Preferred Return</a:t>
          </a:r>
        </a:p>
      </xdr:txBody>
    </xdr:sp>
    <xdr:clientData/>
  </xdr:twoCellAnchor>
  <xdr:twoCellAnchor>
    <xdr:from>
      <xdr:col>5</xdr:col>
      <xdr:colOff>560067</xdr:colOff>
      <xdr:row>30</xdr:row>
      <xdr:rowOff>110881</xdr:rowOff>
    </xdr:from>
    <xdr:to>
      <xdr:col>5</xdr:col>
      <xdr:colOff>561655</xdr:colOff>
      <xdr:row>31</xdr:row>
      <xdr:rowOff>140189</xdr:rowOff>
    </xdr:to>
    <xdr:cxnSp macro="">
      <xdr:nvCxnSpPr>
        <xdr:cNvPr id="3" name="Straight Arrow Connector 2">
          <a:extLst>
            <a:ext uri="{FF2B5EF4-FFF2-40B4-BE49-F238E27FC236}">
              <a16:creationId xmlns:a16="http://schemas.microsoft.com/office/drawing/2014/main" id="{522200E9-23E0-4590-B384-64DC77AF6731}"/>
            </a:ext>
          </a:extLst>
        </xdr:cNvPr>
        <xdr:cNvCxnSpPr/>
      </xdr:nvCxnSpPr>
      <xdr:spPr>
        <a:xfrm rot="5400000" flipH="1" flipV="1">
          <a:off x="5817439" y="5864409"/>
          <a:ext cx="27109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1012825</xdr:colOff>
      <xdr:row>21</xdr:row>
      <xdr:rowOff>186042</xdr:rowOff>
    </xdr:from>
    <xdr:to>
      <xdr:col>6</xdr:col>
      <xdr:colOff>211210</xdr:colOff>
      <xdr:row>23</xdr:row>
      <xdr:rowOff>56803</xdr:rowOff>
    </xdr:to>
    <xdr:sp macro="" textlink="">
      <xdr:nvSpPr>
        <xdr:cNvPr id="4" name="TextBox 3">
          <a:extLst>
            <a:ext uri="{FF2B5EF4-FFF2-40B4-BE49-F238E27FC236}">
              <a16:creationId xmlns:a16="http://schemas.microsoft.com/office/drawing/2014/main" id="{E7E86102-BF15-4E8E-B489-A1EF38F74338}"/>
            </a:ext>
          </a:extLst>
        </xdr:cNvPr>
        <xdr:cNvSpPr txBox="1"/>
      </xdr:nvSpPr>
      <xdr:spPr>
        <a:xfrm>
          <a:off x="5461000" y="4778680"/>
          <a:ext cx="1380863" cy="340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lang="en-US" sz="1400">
              <a:latin typeface="Garamond" pitchFamily="18" charset="0"/>
            </a:rPr>
            <a:t>Preferred Return</a:t>
          </a:r>
        </a:p>
      </xdr:txBody>
    </xdr:sp>
    <xdr:clientData/>
  </xdr:twoCellAnchor>
  <xdr:twoCellAnchor>
    <xdr:from>
      <xdr:col>5</xdr:col>
      <xdr:colOff>588154</xdr:colOff>
      <xdr:row>20</xdr:row>
      <xdr:rowOff>79375</xdr:rowOff>
    </xdr:from>
    <xdr:to>
      <xdr:col>5</xdr:col>
      <xdr:colOff>589742</xdr:colOff>
      <xdr:row>21</xdr:row>
      <xdr:rowOff>102393</xdr:rowOff>
    </xdr:to>
    <xdr:cxnSp macro="">
      <xdr:nvCxnSpPr>
        <xdr:cNvPr id="5" name="Straight Arrow Connector 4">
          <a:extLst>
            <a:ext uri="{FF2B5EF4-FFF2-40B4-BE49-F238E27FC236}">
              <a16:creationId xmlns:a16="http://schemas.microsoft.com/office/drawing/2014/main" id="{A94B482C-4A7E-4F4E-95E5-C504D30CF38D}"/>
            </a:ext>
          </a:extLst>
        </xdr:cNvPr>
        <xdr:cNvCxnSpPr/>
      </xdr:nvCxnSpPr>
      <xdr:spPr>
        <a:xfrm rot="5400000" flipH="1" flipV="1">
          <a:off x="5967031" y="4554111"/>
          <a:ext cx="26743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330200</xdr:colOff>
      <xdr:row>8</xdr:row>
      <xdr:rowOff>38100</xdr:rowOff>
    </xdr:from>
    <xdr:to>
      <xdr:col>2</xdr:col>
      <xdr:colOff>908050</xdr:colOff>
      <xdr:row>11</xdr:row>
      <xdr:rowOff>57151</xdr:rowOff>
    </xdr:to>
    <xdr:sp macro="" textlink="">
      <xdr:nvSpPr>
        <xdr:cNvPr id="7" name="Oval 6">
          <a:extLst>
            <a:ext uri="{FF2B5EF4-FFF2-40B4-BE49-F238E27FC236}">
              <a16:creationId xmlns:a16="http://schemas.microsoft.com/office/drawing/2014/main" id="{8C80F1F5-8C21-4ACB-A5AE-E3075FC449B8}"/>
            </a:ext>
          </a:extLst>
        </xdr:cNvPr>
        <xdr:cNvSpPr/>
      </xdr:nvSpPr>
      <xdr:spPr>
        <a:xfrm>
          <a:off x="304800" y="2000250"/>
          <a:ext cx="3486150" cy="733426"/>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193675</xdr:colOff>
      <xdr:row>20</xdr:row>
      <xdr:rowOff>41275</xdr:rowOff>
    </xdr:from>
    <xdr:to>
      <xdr:col>2</xdr:col>
      <xdr:colOff>771525</xdr:colOff>
      <xdr:row>23</xdr:row>
      <xdr:rowOff>60326</xdr:rowOff>
    </xdr:to>
    <xdr:sp macro="" textlink="">
      <xdr:nvSpPr>
        <xdr:cNvPr id="8" name="Oval 7">
          <a:extLst>
            <a:ext uri="{FF2B5EF4-FFF2-40B4-BE49-F238E27FC236}">
              <a16:creationId xmlns:a16="http://schemas.microsoft.com/office/drawing/2014/main" id="{9A4F8E34-CDEF-499F-80FF-6809210DB54C}"/>
            </a:ext>
          </a:extLst>
        </xdr:cNvPr>
        <xdr:cNvSpPr/>
      </xdr:nvSpPr>
      <xdr:spPr>
        <a:xfrm>
          <a:off x="180975" y="4867275"/>
          <a:ext cx="3486150" cy="733426"/>
        </a:xfrm>
        <a:prstGeom prst="ellipse">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7143</xdr:colOff>
      <xdr:row>5</xdr:row>
      <xdr:rowOff>17463</xdr:rowOff>
    </xdr:from>
    <xdr:to>
      <xdr:col>12</xdr:col>
      <xdr:colOff>584993</xdr:colOff>
      <xdr:row>6</xdr:row>
      <xdr:rowOff>84138</xdr:rowOff>
    </xdr:to>
    <xdr:sp macro="" textlink="">
      <xdr:nvSpPr>
        <xdr:cNvPr id="3" name="Right Arrow 2">
          <a:extLst>
            <a:ext uri="{FF2B5EF4-FFF2-40B4-BE49-F238E27FC236}">
              <a16:creationId xmlns:a16="http://schemas.microsoft.com/office/drawing/2014/main" id="{31F9012B-F6F1-4869-AF8B-E687BD10E926}"/>
            </a:ext>
          </a:extLst>
        </xdr:cNvPr>
        <xdr:cNvSpPr/>
      </xdr:nvSpPr>
      <xdr:spPr>
        <a:xfrm rot="10800000">
          <a:off x="12294393" y="1273969"/>
          <a:ext cx="533400" cy="304800"/>
        </a:xfrm>
        <a:prstGeom prst="rightArrow">
          <a:avLst/>
        </a:prstGeom>
        <a:solidFill>
          <a:srgbClr val="81A5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clientData/>
  </xdr:twoCellAnchor>
  <xdr:twoCellAnchor editAs="oneCell">
    <xdr:from>
      <xdr:col>8</xdr:col>
      <xdr:colOff>349250</xdr:colOff>
      <xdr:row>3</xdr:row>
      <xdr:rowOff>76200</xdr:rowOff>
    </xdr:from>
    <xdr:to>
      <xdr:col>11</xdr:col>
      <xdr:colOff>927100</xdr:colOff>
      <xdr:row>9</xdr:row>
      <xdr:rowOff>222250</xdr:rowOff>
    </xdr:to>
    <xdr:pic>
      <xdr:nvPicPr>
        <xdr:cNvPr id="80344" name="Picture 3">
          <a:extLst>
            <a:ext uri="{FF2B5EF4-FFF2-40B4-BE49-F238E27FC236}">
              <a16:creationId xmlns:a16="http://schemas.microsoft.com/office/drawing/2014/main" id="{E1538DD5-90CF-42FA-8D60-05CE766002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825500"/>
          <a:ext cx="3511550" cy="151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167481</xdr:colOff>
      <xdr:row>4</xdr:row>
      <xdr:rowOff>219869</xdr:rowOff>
    </xdr:from>
    <xdr:to>
      <xdr:col>8</xdr:col>
      <xdr:colOff>173830</xdr:colOff>
      <xdr:row>8</xdr:row>
      <xdr:rowOff>55290</xdr:rowOff>
    </xdr:to>
    <xdr:sp macro="" textlink="">
      <xdr:nvSpPr>
        <xdr:cNvPr id="6" name="TextBox 23">
          <a:extLst>
            <a:ext uri="{FF2B5EF4-FFF2-40B4-BE49-F238E27FC236}">
              <a16:creationId xmlns:a16="http://schemas.microsoft.com/office/drawing/2014/main" id="{4FAA5EAC-DD21-43C1-A81B-A8FCB090E918}"/>
            </a:ext>
          </a:extLst>
        </xdr:cNvPr>
        <xdr:cNvSpPr txBox="1"/>
      </xdr:nvSpPr>
      <xdr:spPr>
        <a:xfrm>
          <a:off x="7304881" y="1197769"/>
          <a:ext cx="2235199" cy="749821"/>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Preferred Return </a:t>
          </a:r>
        </a:p>
        <a:p>
          <a:pPr marL="514350" indent="-514350" algn="ctr">
            <a:defRPr/>
          </a:pPr>
          <a:r>
            <a:rPr lang="en-US" sz="1400">
              <a:latin typeface="+mn-lt"/>
              <a:cs typeface="Times New Roman" pitchFamily="18" charset="0"/>
            </a:rPr>
            <a:t>paid to both </a:t>
          </a:r>
        </a:p>
        <a:p>
          <a:pPr marL="514350" indent="-514350" algn="ctr">
            <a:defRPr/>
          </a:pPr>
          <a:r>
            <a:rPr lang="en-US" sz="1400">
              <a:latin typeface="+mn-lt"/>
              <a:cs typeface="Times New Roman" pitchFamily="18" charset="0"/>
            </a:rPr>
            <a:t>Investor &amp; Sponsor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450850</xdr:colOff>
      <xdr:row>3</xdr:row>
      <xdr:rowOff>88900</xdr:rowOff>
    </xdr:from>
    <xdr:to>
      <xdr:col>12</xdr:col>
      <xdr:colOff>50800</xdr:colOff>
      <xdr:row>10</xdr:row>
      <xdr:rowOff>19050</xdr:rowOff>
    </xdr:to>
    <xdr:pic>
      <xdr:nvPicPr>
        <xdr:cNvPr id="20943" name="Picture 3">
          <a:extLst>
            <a:ext uri="{FF2B5EF4-FFF2-40B4-BE49-F238E27FC236}">
              <a16:creationId xmlns:a16="http://schemas.microsoft.com/office/drawing/2014/main" id="{CDE5AE0B-C0D9-4B0D-A97F-7ED5BBE535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7100" y="838200"/>
          <a:ext cx="351155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143728</xdr:colOff>
      <xdr:row>5</xdr:row>
      <xdr:rowOff>52935</xdr:rowOff>
    </xdr:from>
    <xdr:to>
      <xdr:col>12</xdr:col>
      <xdr:colOff>719593</xdr:colOff>
      <xdr:row>6</xdr:row>
      <xdr:rowOff>113329</xdr:rowOff>
    </xdr:to>
    <xdr:sp macro="" textlink="">
      <xdr:nvSpPr>
        <xdr:cNvPr id="5" name="Right Arrow 4">
          <a:extLst>
            <a:ext uri="{FF2B5EF4-FFF2-40B4-BE49-F238E27FC236}">
              <a16:creationId xmlns:a16="http://schemas.microsoft.com/office/drawing/2014/main" id="{05BAE755-CA4D-4CEC-8D50-997B012B36EA}"/>
            </a:ext>
          </a:extLst>
        </xdr:cNvPr>
        <xdr:cNvSpPr/>
      </xdr:nvSpPr>
      <xdr:spPr>
        <a:xfrm rot="10800000">
          <a:off x="12425605" y="1313166"/>
          <a:ext cx="531568" cy="308464"/>
        </a:xfrm>
        <a:prstGeom prst="rightArrow">
          <a:avLst/>
        </a:prstGeom>
        <a:solidFill>
          <a:srgbClr val="81A5D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clientData/>
  </xdr:twoCellAnchor>
  <xdr:twoCellAnchor>
    <xdr:from>
      <xdr:col>6</xdr:col>
      <xdr:colOff>215106</xdr:colOff>
      <xdr:row>5</xdr:row>
      <xdr:rowOff>17463</xdr:rowOff>
    </xdr:from>
    <xdr:to>
      <xdr:col>8</xdr:col>
      <xdr:colOff>225417</xdr:colOff>
      <xdr:row>8</xdr:row>
      <xdr:rowOff>81484</xdr:rowOff>
    </xdr:to>
    <xdr:sp macro="" textlink="">
      <xdr:nvSpPr>
        <xdr:cNvPr id="7" name="TextBox 23">
          <a:extLst>
            <a:ext uri="{FF2B5EF4-FFF2-40B4-BE49-F238E27FC236}">
              <a16:creationId xmlns:a16="http://schemas.microsoft.com/office/drawing/2014/main" id="{1C68DAC5-7FD5-4FC2-9DAD-8F5E5B410F13}"/>
            </a:ext>
          </a:extLst>
        </xdr:cNvPr>
        <xdr:cNvSpPr txBox="1"/>
      </xdr:nvSpPr>
      <xdr:spPr>
        <a:xfrm>
          <a:off x="7352506" y="1223963"/>
          <a:ext cx="2239161" cy="749821"/>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Preferred Return </a:t>
          </a:r>
        </a:p>
        <a:p>
          <a:pPr marL="514350" indent="-514350" algn="ctr">
            <a:defRPr/>
          </a:pPr>
          <a:r>
            <a:rPr lang="en-US" sz="1400">
              <a:latin typeface="+mn-lt"/>
              <a:cs typeface="Times New Roman" pitchFamily="18" charset="0"/>
            </a:rPr>
            <a:t>paid to both </a:t>
          </a:r>
        </a:p>
        <a:p>
          <a:pPr marL="514350" indent="-514350" algn="ctr">
            <a:defRPr/>
          </a:pPr>
          <a:r>
            <a:rPr lang="en-US" sz="1400">
              <a:latin typeface="+mn-lt"/>
              <a:cs typeface="Times New Roman" pitchFamily="18" charset="0"/>
            </a:rPr>
            <a:t>Investor &amp; Sponsor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996950</xdr:colOff>
      <xdr:row>0</xdr:row>
      <xdr:rowOff>200025</xdr:rowOff>
    </xdr:from>
    <xdr:to>
      <xdr:col>10</xdr:col>
      <xdr:colOff>40958</xdr:colOff>
      <xdr:row>3</xdr:row>
      <xdr:rowOff>200546</xdr:rowOff>
    </xdr:to>
    <xdr:sp macro="" textlink="">
      <xdr:nvSpPr>
        <xdr:cNvPr id="4" name="TextBox 23">
          <a:extLst>
            <a:ext uri="{FF2B5EF4-FFF2-40B4-BE49-F238E27FC236}">
              <a16:creationId xmlns:a16="http://schemas.microsoft.com/office/drawing/2014/main" id="{5960FA2C-3D2E-4F42-8A01-13E23052FC72}"/>
            </a:ext>
          </a:extLst>
        </xdr:cNvPr>
        <xdr:cNvSpPr txBox="1"/>
      </xdr:nvSpPr>
      <xdr:spPr>
        <a:xfrm>
          <a:off x="8153400" y="200025"/>
          <a:ext cx="2219008" cy="749821"/>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Preferred Return </a:t>
          </a:r>
        </a:p>
        <a:p>
          <a:pPr marL="514350" indent="-514350" algn="ctr">
            <a:defRPr/>
          </a:pPr>
          <a:r>
            <a:rPr lang="en-US" sz="1400">
              <a:latin typeface="+mn-lt"/>
              <a:cs typeface="Times New Roman" pitchFamily="18" charset="0"/>
            </a:rPr>
            <a:t>paid to both </a:t>
          </a:r>
        </a:p>
        <a:p>
          <a:pPr marL="514350" indent="-514350" algn="ctr">
            <a:defRPr/>
          </a:pPr>
          <a:r>
            <a:rPr lang="en-US" sz="1400">
              <a:latin typeface="+mn-lt"/>
              <a:cs typeface="Times New Roman" pitchFamily="18" charset="0"/>
            </a:rPr>
            <a:t>Investor &amp; Sponsor</a:t>
          </a:r>
        </a:p>
      </xdr:txBody>
    </xdr:sp>
    <xdr:clientData/>
  </xdr:twoCellAnchor>
  <xdr:twoCellAnchor>
    <xdr:from>
      <xdr:col>10</xdr:col>
      <xdr:colOff>43007</xdr:colOff>
      <xdr:row>3</xdr:row>
      <xdr:rowOff>153698</xdr:rowOff>
    </xdr:from>
    <xdr:to>
      <xdr:col>12</xdr:col>
      <xdr:colOff>230415</xdr:colOff>
      <xdr:row>5</xdr:row>
      <xdr:rowOff>227156</xdr:rowOff>
    </xdr:to>
    <xdr:sp macro="" textlink="">
      <xdr:nvSpPr>
        <xdr:cNvPr id="5" name="TextBox 24">
          <a:extLst>
            <a:ext uri="{FF2B5EF4-FFF2-40B4-BE49-F238E27FC236}">
              <a16:creationId xmlns:a16="http://schemas.microsoft.com/office/drawing/2014/main" id="{A6C32460-9308-412B-9A43-29711462102D}"/>
            </a:ext>
          </a:extLst>
        </xdr:cNvPr>
        <xdr:cNvSpPr txBox="1"/>
      </xdr:nvSpPr>
      <xdr:spPr>
        <a:xfrm>
          <a:off x="10374457" y="902998"/>
          <a:ext cx="2225758" cy="530658"/>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Investor and Sponsor</a:t>
          </a:r>
        </a:p>
        <a:p>
          <a:pPr marL="514350" indent="-514350" algn="ctr">
            <a:defRPr/>
          </a:pPr>
          <a:r>
            <a:rPr lang="en-US" sz="1400">
              <a:latin typeface="+mn-lt"/>
              <a:cs typeface="Times New Roman" pitchFamily="18" charset="0"/>
            </a:rPr>
            <a:t>capital returned</a:t>
          </a:r>
        </a:p>
      </xdr:txBody>
    </xdr:sp>
    <xdr:clientData/>
  </xdr:twoCellAnchor>
  <xdr:twoCellAnchor editAs="oneCell">
    <xdr:from>
      <xdr:col>12</xdr:col>
      <xdr:colOff>615950</xdr:colOff>
      <xdr:row>0</xdr:row>
      <xdr:rowOff>152400</xdr:rowOff>
    </xdr:from>
    <xdr:to>
      <xdr:col>16</xdr:col>
      <xdr:colOff>565150</xdr:colOff>
      <xdr:row>5</xdr:row>
      <xdr:rowOff>495300</xdr:rowOff>
    </xdr:to>
    <xdr:pic>
      <xdr:nvPicPr>
        <xdr:cNvPr id="17868" name="Picture 8">
          <a:extLst>
            <a:ext uri="{FF2B5EF4-FFF2-40B4-BE49-F238E27FC236}">
              <a16:creationId xmlns:a16="http://schemas.microsoft.com/office/drawing/2014/main" id="{6239D578-3E41-46FA-837F-10BF3CB3A9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85750" y="152400"/>
          <a:ext cx="3536950" cy="154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634094</xdr:colOff>
      <xdr:row>0</xdr:row>
      <xdr:rowOff>116115</xdr:rowOff>
    </xdr:from>
    <xdr:to>
      <xdr:col>10</xdr:col>
      <xdr:colOff>887234</xdr:colOff>
      <xdr:row>3</xdr:row>
      <xdr:rowOff>116636</xdr:rowOff>
    </xdr:to>
    <xdr:sp macro="" textlink="">
      <xdr:nvSpPr>
        <xdr:cNvPr id="3" name="TextBox 23">
          <a:extLst>
            <a:ext uri="{FF2B5EF4-FFF2-40B4-BE49-F238E27FC236}">
              <a16:creationId xmlns:a16="http://schemas.microsoft.com/office/drawing/2014/main" id="{0FF76E8D-B3E8-4D93-AE2E-AFF4A962D0C7}"/>
            </a:ext>
          </a:extLst>
        </xdr:cNvPr>
        <xdr:cNvSpPr txBox="1"/>
      </xdr:nvSpPr>
      <xdr:spPr>
        <a:xfrm>
          <a:off x="8882744" y="116115"/>
          <a:ext cx="2208940" cy="749821"/>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Preferred Return </a:t>
          </a:r>
        </a:p>
        <a:p>
          <a:pPr marL="514350" indent="-514350" algn="ctr">
            <a:defRPr/>
          </a:pPr>
          <a:r>
            <a:rPr lang="en-US" sz="1400">
              <a:latin typeface="+mn-lt"/>
              <a:cs typeface="Times New Roman" pitchFamily="18" charset="0"/>
            </a:rPr>
            <a:t>paid to both </a:t>
          </a:r>
        </a:p>
        <a:p>
          <a:pPr marL="514350" indent="-514350" algn="ctr">
            <a:defRPr/>
          </a:pPr>
          <a:r>
            <a:rPr lang="en-US" sz="1400">
              <a:latin typeface="+mn-lt"/>
              <a:cs typeface="Times New Roman" pitchFamily="18" charset="0"/>
            </a:rPr>
            <a:t>Investor &amp; Sponsor</a:t>
          </a:r>
        </a:p>
      </xdr:txBody>
    </xdr:sp>
    <xdr:clientData/>
  </xdr:twoCellAnchor>
  <xdr:twoCellAnchor>
    <xdr:from>
      <xdr:col>10</xdr:col>
      <xdr:colOff>887187</xdr:colOff>
      <xdr:row>3</xdr:row>
      <xdr:rowOff>71438</xdr:rowOff>
    </xdr:from>
    <xdr:to>
      <xdr:col>13</xdr:col>
      <xdr:colOff>91384</xdr:colOff>
      <xdr:row>5</xdr:row>
      <xdr:rowOff>144896</xdr:rowOff>
    </xdr:to>
    <xdr:sp macro="" textlink="">
      <xdr:nvSpPr>
        <xdr:cNvPr id="4" name="TextBox 24">
          <a:extLst>
            <a:ext uri="{FF2B5EF4-FFF2-40B4-BE49-F238E27FC236}">
              <a16:creationId xmlns:a16="http://schemas.microsoft.com/office/drawing/2014/main" id="{93262050-12CD-4D4B-AF45-77C2A48A8B0A}"/>
            </a:ext>
          </a:extLst>
        </xdr:cNvPr>
        <xdr:cNvSpPr txBox="1"/>
      </xdr:nvSpPr>
      <xdr:spPr>
        <a:xfrm>
          <a:off x="11091637" y="820738"/>
          <a:ext cx="2220447" cy="530658"/>
        </a:xfrm>
        <a:prstGeom prst="rect">
          <a:avLst/>
        </a:prstGeom>
        <a:noFill/>
        <a:ln w="12700">
          <a:solidFill>
            <a:schemeClr val="tx1"/>
          </a:solidFill>
        </a:ln>
      </xdr:spPr>
      <xdr:txBody>
        <a:bodyPr wrap="square" anchor="ctr" anchorCtr="1">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pPr marL="514350" indent="-514350" algn="ctr">
            <a:defRPr/>
          </a:pPr>
          <a:r>
            <a:rPr lang="en-US" sz="1400">
              <a:latin typeface="+mn-lt"/>
              <a:cs typeface="Times New Roman" pitchFamily="18" charset="0"/>
            </a:rPr>
            <a:t>Investor and Sponsor</a:t>
          </a:r>
        </a:p>
        <a:p>
          <a:pPr marL="514350" indent="-514350" algn="ctr">
            <a:defRPr/>
          </a:pPr>
          <a:r>
            <a:rPr lang="en-US" sz="1400">
              <a:latin typeface="+mn-lt"/>
              <a:cs typeface="Times New Roman" pitchFamily="18" charset="0"/>
            </a:rPr>
            <a:t>capital returned</a:t>
          </a:r>
        </a:p>
      </xdr:txBody>
    </xdr:sp>
    <xdr:clientData/>
  </xdr:twoCellAnchor>
  <xdr:twoCellAnchor editAs="oneCell">
    <xdr:from>
      <xdr:col>13</xdr:col>
      <xdr:colOff>285750</xdr:colOff>
      <xdr:row>0</xdr:row>
      <xdr:rowOff>152400</xdr:rowOff>
    </xdr:from>
    <xdr:to>
      <xdr:col>18</xdr:col>
      <xdr:colOff>127000</xdr:colOff>
      <xdr:row>5</xdr:row>
      <xdr:rowOff>508000</xdr:rowOff>
    </xdr:to>
    <xdr:pic>
      <xdr:nvPicPr>
        <xdr:cNvPr id="18885" name="Picture 4">
          <a:extLst>
            <a:ext uri="{FF2B5EF4-FFF2-40B4-BE49-F238E27FC236}">
              <a16:creationId xmlns:a16="http://schemas.microsoft.com/office/drawing/2014/main" id="{F2A1A091-4C05-4735-BD00-F13ADC303C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06450" y="152400"/>
          <a:ext cx="355600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234950</xdr:colOff>
      <xdr:row>3</xdr:row>
      <xdr:rowOff>57150</xdr:rowOff>
    </xdr:from>
    <xdr:to>
      <xdr:col>10</xdr:col>
      <xdr:colOff>196850</xdr:colOff>
      <xdr:row>12</xdr:row>
      <xdr:rowOff>57150</xdr:rowOff>
    </xdr:to>
    <xdr:pic>
      <xdr:nvPicPr>
        <xdr:cNvPr id="23107" name="Picture 2">
          <a:extLst>
            <a:ext uri="{FF2B5EF4-FFF2-40B4-BE49-F238E27FC236}">
              <a16:creationId xmlns:a16="http://schemas.microsoft.com/office/drawing/2014/main" id="{4AECCEEB-3D8F-4C2B-8721-6EE9A5667F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150" y="819150"/>
          <a:ext cx="3505200"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933450</xdr:colOff>
      <xdr:row>99</xdr:row>
      <xdr:rowOff>133350</xdr:rowOff>
    </xdr:from>
    <xdr:to>
      <xdr:col>4</xdr:col>
      <xdr:colOff>101600</xdr:colOff>
      <xdr:row>116</xdr:row>
      <xdr:rowOff>101600</xdr:rowOff>
    </xdr:to>
    <xdr:graphicFrame macro="">
      <xdr:nvGraphicFramePr>
        <xdr:cNvPr id="23108" name="Chart 5">
          <a:extLst>
            <a:ext uri="{FF2B5EF4-FFF2-40B4-BE49-F238E27FC236}">
              <a16:creationId xmlns:a16="http://schemas.microsoft.com/office/drawing/2014/main" id="{136D8B84-5D4B-410C-8C55-01FE6AD16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99</xdr:row>
      <xdr:rowOff>133350</xdr:rowOff>
    </xdr:from>
    <xdr:to>
      <xdr:col>8</xdr:col>
      <xdr:colOff>349250</xdr:colOff>
      <xdr:row>116</xdr:row>
      <xdr:rowOff>88900</xdr:rowOff>
    </xdr:to>
    <xdr:graphicFrame macro="">
      <xdr:nvGraphicFramePr>
        <xdr:cNvPr id="23109" name="Chart 7">
          <a:extLst>
            <a:ext uri="{FF2B5EF4-FFF2-40B4-BE49-F238E27FC236}">
              <a16:creationId xmlns:a16="http://schemas.microsoft.com/office/drawing/2014/main" id="{56D9116A-9D96-40F9-9270-667441B0E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95250</xdr:colOff>
      <xdr:row>28</xdr:row>
      <xdr:rowOff>0</xdr:rowOff>
    </xdr:from>
    <xdr:to>
      <xdr:col>13</xdr:col>
      <xdr:colOff>609600</xdr:colOff>
      <xdr:row>39</xdr:row>
      <xdr:rowOff>12700</xdr:rowOff>
    </xdr:to>
    <xdr:graphicFrame macro="">
      <xdr:nvGraphicFramePr>
        <xdr:cNvPr id="23110" name="Chart 8">
          <a:extLst>
            <a:ext uri="{FF2B5EF4-FFF2-40B4-BE49-F238E27FC236}">
              <a16:creationId xmlns:a16="http://schemas.microsoft.com/office/drawing/2014/main" id="{EC61918E-6E7D-41D9-9A04-A81DB11BC2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152400</xdr:colOff>
      <xdr:row>120</xdr:row>
      <xdr:rowOff>101600</xdr:rowOff>
    </xdr:from>
    <xdr:to>
      <xdr:col>8</xdr:col>
      <xdr:colOff>330200</xdr:colOff>
      <xdr:row>137</xdr:row>
      <xdr:rowOff>82550</xdr:rowOff>
    </xdr:to>
    <xdr:graphicFrame macro="">
      <xdr:nvGraphicFramePr>
        <xdr:cNvPr id="23111" name="Chart 10">
          <a:extLst>
            <a:ext uri="{FF2B5EF4-FFF2-40B4-BE49-F238E27FC236}">
              <a16:creationId xmlns:a16="http://schemas.microsoft.com/office/drawing/2014/main" id="{09BDCF0E-7150-4BEE-87E3-3518C7B12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288557</xdr:colOff>
      <xdr:row>4</xdr:row>
      <xdr:rowOff>39794</xdr:rowOff>
    </xdr:from>
    <xdr:to>
      <xdr:col>3</xdr:col>
      <xdr:colOff>632231</xdr:colOff>
      <xdr:row>6</xdr:row>
      <xdr:rowOff>3445</xdr:rowOff>
    </xdr:to>
    <xdr:cxnSp macro="">
      <xdr:nvCxnSpPr>
        <xdr:cNvPr id="2" name="Straight Arrow Connector 1">
          <a:extLst>
            <a:ext uri="{FF2B5EF4-FFF2-40B4-BE49-F238E27FC236}">
              <a16:creationId xmlns:a16="http://schemas.microsoft.com/office/drawing/2014/main" id="{2268E452-AD2C-4B95-94C8-109F93032306}"/>
            </a:ext>
          </a:extLst>
        </xdr:cNvPr>
        <xdr:cNvCxnSpPr/>
      </xdr:nvCxnSpPr>
      <xdr:spPr>
        <a:xfrm rot="5400000">
          <a:off x="2359292" y="1531409"/>
          <a:ext cx="437581" cy="311852"/>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4</xdr:col>
      <xdr:colOff>1859</xdr:colOff>
      <xdr:row>4</xdr:row>
      <xdr:rowOff>49924</xdr:rowOff>
    </xdr:from>
    <xdr:to>
      <xdr:col>4</xdr:col>
      <xdr:colOff>363732</xdr:colOff>
      <xdr:row>6</xdr:row>
      <xdr:rowOff>3688</xdr:rowOff>
    </xdr:to>
    <xdr:cxnSp macro="">
      <xdr:nvCxnSpPr>
        <xdr:cNvPr id="3" name="Straight Arrow Connector 2">
          <a:extLst>
            <a:ext uri="{FF2B5EF4-FFF2-40B4-BE49-F238E27FC236}">
              <a16:creationId xmlns:a16="http://schemas.microsoft.com/office/drawing/2014/main" id="{7A428833-C6C6-40A8-A2F4-3E7C17588465}"/>
            </a:ext>
          </a:extLst>
        </xdr:cNvPr>
        <xdr:cNvCxnSpPr/>
      </xdr:nvCxnSpPr>
      <xdr:spPr>
        <a:xfrm rot="16200000" flipH="1">
          <a:off x="3396339" y="1494144"/>
          <a:ext cx="427746" cy="396805"/>
        </a:xfrm>
        <a:prstGeom prst="straightConnector1">
          <a:avLst/>
        </a:prstGeom>
        <a:ln>
          <a:solidFill>
            <a:schemeClr val="accent3">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679644</xdr:colOff>
      <xdr:row>8</xdr:row>
      <xdr:rowOff>69941</xdr:rowOff>
    </xdr:from>
    <xdr:to>
      <xdr:col>2</xdr:col>
      <xdr:colOff>988716</xdr:colOff>
      <xdr:row>10</xdr:row>
      <xdr:rowOff>157</xdr:rowOff>
    </xdr:to>
    <xdr:cxnSp macro="">
      <xdr:nvCxnSpPr>
        <xdr:cNvPr id="4" name="Straight Arrow Connector 3">
          <a:extLst>
            <a:ext uri="{FF2B5EF4-FFF2-40B4-BE49-F238E27FC236}">
              <a16:creationId xmlns:a16="http://schemas.microsoft.com/office/drawing/2014/main" id="{4D4AAE59-B0B8-4CC6-9123-32E0743574EC}"/>
            </a:ext>
          </a:extLst>
        </xdr:cNvPr>
        <xdr:cNvCxnSpPr/>
      </xdr:nvCxnSpPr>
      <xdr:spPr>
        <a:xfrm rot="5400000">
          <a:off x="1786732" y="2512503"/>
          <a:ext cx="406466" cy="283842"/>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3</xdr:col>
      <xdr:colOff>391030</xdr:colOff>
      <xdr:row>8</xdr:row>
      <xdr:rowOff>69943</xdr:rowOff>
    </xdr:from>
    <xdr:to>
      <xdr:col>3</xdr:col>
      <xdr:colOff>713666</xdr:colOff>
      <xdr:row>10</xdr:row>
      <xdr:rowOff>38781</xdr:rowOff>
    </xdr:to>
    <xdr:cxnSp macro="">
      <xdr:nvCxnSpPr>
        <xdr:cNvPr id="5" name="Straight Arrow Connector 4">
          <a:extLst>
            <a:ext uri="{FF2B5EF4-FFF2-40B4-BE49-F238E27FC236}">
              <a16:creationId xmlns:a16="http://schemas.microsoft.com/office/drawing/2014/main" id="{53E242BC-C2E8-423E-B759-8C00683EB14D}"/>
            </a:ext>
          </a:extLst>
        </xdr:cNvPr>
        <xdr:cNvCxnSpPr/>
      </xdr:nvCxnSpPr>
      <xdr:spPr>
        <a:xfrm rot="16200000" flipH="1">
          <a:off x="2434696" y="2528427"/>
          <a:ext cx="451293" cy="296825"/>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fLocksWithSheet="0"/>
  </xdr:twoCellAnchor>
</xdr:wsDr>
</file>

<file path=xl/drawings/drawing8.xml><?xml version="1.0" encoding="utf-8"?>
<xdr:wsDr xmlns:xdr="http://schemas.openxmlformats.org/drawingml/2006/spreadsheetDrawing" xmlns:a="http://schemas.openxmlformats.org/drawingml/2006/main">
  <xdr:twoCellAnchor editAs="oneCell">
    <xdr:from>
      <xdr:col>4</xdr:col>
      <xdr:colOff>203200</xdr:colOff>
      <xdr:row>9</xdr:row>
      <xdr:rowOff>69850</xdr:rowOff>
    </xdr:from>
    <xdr:to>
      <xdr:col>8</xdr:col>
      <xdr:colOff>774700</xdr:colOff>
      <xdr:row>10</xdr:row>
      <xdr:rowOff>12700</xdr:rowOff>
    </xdr:to>
    <xdr:pic>
      <xdr:nvPicPr>
        <xdr:cNvPr id="104597" name="Picture 2">
          <a:extLst>
            <a:ext uri="{FF2B5EF4-FFF2-40B4-BE49-F238E27FC236}">
              <a16:creationId xmlns:a16="http://schemas.microsoft.com/office/drawing/2014/main" id="{28D937DC-DBEF-419B-8CF4-F3C33AEB10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2101850"/>
          <a:ext cx="349250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946150</xdr:colOff>
      <xdr:row>9</xdr:row>
      <xdr:rowOff>107950</xdr:rowOff>
    </xdr:from>
    <xdr:to>
      <xdr:col>14</xdr:col>
      <xdr:colOff>831850</xdr:colOff>
      <xdr:row>10</xdr:row>
      <xdr:rowOff>12700</xdr:rowOff>
    </xdr:to>
    <xdr:graphicFrame macro="">
      <xdr:nvGraphicFramePr>
        <xdr:cNvPr id="104598" name="Chart 2">
          <a:extLst>
            <a:ext uri="{FF2B5EF4-FFF2-40B4-BE49-F238E27FC236}">
              <a16:creationId xmlns:a16="http://schemas.microsoft.com/office/drawing/2014/main" id="{4B0A6358-1ADF-4E8C-9781-27DC862A9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203200</xdr:colOff>
      <xdr:row>9</xdr:row>
      <xdr:rowOff>69850</xdr:rowOff>
    </xdr:from>
    <xdr:to>
      <xdr:col>8</xdr:col>
      <xdr:colOff>774700</xdr:colOff>
      <xdr:row>10</xdr:row>
      <xdr:rowOff>12700</xdr:rowOff>
    </xdr:to>
    <xdr:pic>
      <xdr:nvPicPr>
        <xdr:cNvPr id="2379912" name="Picture 2">
          <a:extLst>
            <a:ext uri="{FF2B5EF4-FFF2-40B4-BE49-F238E27FC236}">
              <a16:creationId xmlns:a16="http://schemas.microsoft.com/office/drawing/2014/main" id="{62CC421A-36F2-415D-8D3A-D22AE315D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2101850"/>
          <a:ext cx="349250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63500</xdr:colOff>
      <xdr:row>9</xdr:row>
      <xdr:rowOff>127000</xdr:rowOff>
    </xdr:from>
    <xdr:to>
      <xdr:col>14</xdr:col>
      <xdr:colOff>1041400</xdr:colOff>
      <xdr:row>10</xdr:row>
      <xdr:rowOff>31750</xdr:rowOff>
    </xdr:to>
    <xdr:graphicFrame macro="">
      <xdr:nvGraphicFramePr>
        <xdr:cNvPr id="2379913" name="Chart 2">
          <a:extLst>
            <a:ext uri="{FF2B5EF4-FFF2-40B4-BE49-F238E27FC236}">
              <a16:creationId xmlns:a16="http://schemas.microsoft.com/office/drawing/2014/main" id="{1684A107-D61D-4A67-BF24-C684C063E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FinInv\Ex20_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EFinInv\Finance\10th%20edition\Chapters\Chapter%2019%20templates\cm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EFinInv\Finance\10th%20edition\Chapters\Chapter%2019%20templates\IO-P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CREIF &amp; S&amp;P"/>
      <sheetName val="REITs &amp; S&amp;P"/>
    </sheetNames>
    <sheetDataSet>
      <sheetData sheetId="0"/>
      <sheetData sheetId="1" refreshError="1">
        <row r="11">
          <cell r="D11">
            <v>0.10256580965724643</v>
          </cell>
          <cell r="F11">
            <v>3.9374304347826112</v>
          </cell>
        </row>
        <row r="12">
          <cell r="D12">
            <v>9.9699466842594398E-2</v>
          </cell>
          <cell r="F12">
            <v>3.9434344565217412</v>
          </cell>
        </row>
        <row r="13">
          <cell r="D13">
            <v>9.6926697633896594E-2</v>
          </cell>
          <cell r="F13">
            <v>3.949438478260872</v>
          </cell>
        </row>
        <row r="14">
          <cell r="D14">
            <v>9.4255760498720725E-2</v>
          </cell>
          <cell r="F14">
            <v>3.955442500000002</v>
          </cell>
        </row>
        <row r="15">
          <cell r="D15">
            <v>9.1695554459503378E-2</v>
          </cell>
          <cell r="F15">
            <v>3.9614465217391328</v>
          </cell>
        </row>
        <row r="16">
          <cell r="D16">
            <v>8.9255608650344487E-2</v>
          </cell>
          <cell r="F16">
            <v>3.9674505434782628</v>
          </cell>
        </row>
        <row r="17">
          <cell r="D17">
            <v>8.6946048161577236E-2</v>
          </cell>
          <cell r="F17">
            <v>3.9734545652173923</v>
          </cell>
        </row>
        <row r="18">
          <cell r="D18">
            <v>8.4777529769104062E-2</v>
          </cell>
          <cell r="F18">
            <v>3.9794585869565231</v>
          </cell>
        </row>
        <row r="19">
          <cell r="D19">
            <v>8.2761141026761451E-2</v>
          </cell>
          <cell r="F19">
            <v>3.9854626086956535</v>
          </cell>
        </row>
        <row r="20">
          <cell r="D20">
            <v>8.0908256821018112E-2</v>
          </cell>
          <cell r="F20">
            <v>3.9914666304347839</v>
          </cell>
        </row>
        <row r="21">
          <cell r="D21">
            <v>7.9230349153871005E-2</v>
          </cell>
          <cell r="F21">
            <v>3.9974706521739138</v>
          </cell>
        </row>
        <row r="22">
          <cell r="D22">
            <v>7.7738748894852619E-2</v>
          </cell>
          <cell r="F22">
            <v>4.0034746739130451</v>
          </cell>
        </row>
        <row r="23">
          <cell r="D23">
            <v>7.6444362642995103E-2</v>
          </cell>
          <cell r="F23">
            <v>4.0094786956521746</v>
          </cell>
        </row>
        <row r="24">
          <cell r="D24">
            <v>7.5357353506573591E-2</v>
          </cell>
          <cell r="F24">
            <v>4.015482717391305</v>
          </cell>
        </row>
        <row r="25">
          <cell r="D25">
            <v>7.4486800995879857E-2</v>
          </cell>
          <cell r="F25">
            <v>4.0214867391304354</v>
          </cell>
        </row>
        <row r="26">
          <cell r="D26">
            <v>7.3840361355759068E-2</v>
          </cell>
          <cell r="F26">
            <v>4.0274907608695658</v>
          </cell>
        </row>
        <row r="27">
          <cell r="D27">
            <v>7.3423954232678723E-2</v>
          </cell>
          <cell r="F27">
            <v>4.0334947826086962</v>
          </cell>
        </row>
        <row r="28">
          <cell r="D28">
            <v>7.3241503211226341E-2</v>
          </cell>
          <cell r="F28">
            <v>4.0394988043478257</v>
          </cell>
        </row>
        <row r="29">
          <cell r="D29">
            <v>7.329475545754835E-2</v>
          </cell>
          <cell r="F29">
            <v>4.045502826086957</v>
          </cell>
        </row>
        <row r="30">
          <cell r="D30">
            <v>7.358319923724238E-2</v>
          </cell>
          <cell r="F30">
            <v>4.0515068478260865</v>
          </cell>
        </row>
        <row r="31">
          <cell r="D31">
            <v>7.4104088212849348E-2</v>
          </cell>
          <cell r="F31">
            <v>4.0575108695652169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171">
          <cell r="D171">
            <v>0</v>
          </cell>
          <cell r="E171">
            <v>0.19104004814636055</v>
          </cell>
        </row>
        <row r="172">
          <cell r="D172">
            <v>0.05</v>
          </cell>
          <cell r="E172">
            <v>0.17331256212247201</v>
          </cell>
        </row>
        <row r="173">
          <cell r="D173">
            <v>0.1</v>
          </cell>
          <cell r="E173">
            <v>0.16098670463276857</v>
          </cell>
        </row>
        <row r="174">
          <cell r="D174">
            <v>0.15000000000000002</v>
          </cell>
          <cell r="E174">
            <v>0.15532835618367249</v>
          </cell>
        </row>
        <row r="175">
          <cell r="D175">
            <v>0.2</v>
          </cell>
          <cell r="E175">
            <v>0.14993493952328116</v>
          </cell>
        </row>
        <row r="176">
          <cell r="D176">
            <v>0.25</v>
          </cell>
          <cell r="E176">
            <v>0.14737549187106463</v>
          </cell>
        </row>
        <row r="177">
          <cell r="D177">
            <v>0.3</v>
          </cell>
          <cell r="E177">
            <v>0.14738328611616652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135">
          <cell r="E135">
            <v>5.3792676242975117E-2</v>
          </cell>
        </row>
        <row r="136">
          <cell r="E136">
            <v>6.5681770075035173E-2</v>
          </cell>
        </row>
        <row r="137">
          <cell r="E137">
            <v>7.9037589924664753E-2</v>
          </cell>
        </row>
        <row r="138">
          <cell r="E138">
            <v>9.3672789192370182E-2</v>
          </cell>
        </row>
        <row r="139">
          <cell r="E139">
            <v>0.10935888548657445</v>
          </cell>
        </row>
        <row r="140">
          <cell r="E140">
            <v>0.12586561470778773</v>
          </cell>
        </row>
        <row r="141">
          <cell r="E141">
            <v>0.14298917762938032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12"/>
  <sheetViews>
    <sheetView tabSelected="1" zoomScale="190" zoomScaleNormal="190" workbookViewId="0"/>
  </sheetViews>
  <sheetFormatPr defaultColWidth="9" defaultRowHeight="18" x14ac:dyDescent="0.4"/>
  <cols>
    <col min="1" max="16384" width="9" style="39"/>
  </cols>
  <sheetData>
    <row r="3" spans="2:8" ht="21" customHeight="1" x14ac:dyDescent="0.65">
      <c r="B3" s="434" t="s">
        <v>18</v>
      </c>
      <c r="C3" s="434"/>
      <c r="D3" s="434"/>
      <c r="E3" s="434"/>
      <c r="F3" s="434"/>
      <c r="G3" s="434"/>
      <c r="H3" s="38"/>
    </row>
    <row r="4" spans="2:8" ht="4.5" customHeight="1" x14ac:dyDescent="0.4">
      <c r="B4" s="40"/>
      <c r="C4" s="40"/>
      <c r="D4" s="40"/>
      <c r="E4" s="40"/>
      <c r="F4" s="40"/>
      <c r="G4" s="40"/>
      <c r="H4" s="40"/>
    </row>
    <row r="5" spans="2:8" ht="27.75" customHeight="1" x14ac:dyDescent="0.45">
      <c r="B5" s="437" t="s">
        <v>192</v>
      </c>
      <c r="C5" s="437"/>
      <c r="D5" s="437"/>
      <c r="E5" s="437"/>
      <c r="F5" s="437"/>
      <c r="G5" s="437"/>
      <c r="H5" s="41"/>
    </row>
    <row r="6" spans="2:8" ht="20.5" x14ac:dyDescent="0.45">
      <c r="B6" s="42"/>
      <c r="C6" s="42"/>
      <c r="D6" s="42"/>
      <c r="E6" s="42"/>
      <c r="F6" s="42"/>
      <c r="G6" s="42"/>
      <c r="H6" s="41"/>
    </row>
    <row r="7" spans="2:8" ht="20.5" x14ac:dyDescent="0.45">
      <c r="B7" s="42"/>
      <c r="C7" s="42"/>
      <c r="D7" s="42"/>
      <c r="E7" s="42"/>
      <c r="F7" s="42"/>
      <c r="G7" s="42"/>
      <c r="H7" s="41"/>
    </row>
    <row r="8" spans="2:8" ht="20.5" x14ac:dyDescent="0.45">
      <c r="B8" s="42"/>
      <c r="C8" s="42"/>
      <c r="D8" s="42"/>
      <c r="E8" s="42"/>
      <c r="F8" s="42"/>
      <c r="G8" s="42"/>
      <c r="H8" s="41"/>
    </row>
    <row r="9" spans="2:8" ht="9.75" customHeight="1" x14ac:dyDescent="0.45">
      <c r="B9" s="42"/>
      <c r="C9" s="42"/>
      <c r="D9" s="42"/>
      <c r="E9" s="42"/>
      <c r="F9" s="42"/>
      <c r="G9" s="42"/>
      <c r="H9" s="41"/>
    </row>
    <row r="10" spans="2:8" x14ac:dyDescent="0.4">
      <c r="B10" s="435"/>
      <c r="C10" s="435"/>
      <c r="D10" s="435"/>
      <c r="E10" s="435"/>
      <c r="F10" s="435"/>
      <c r="G10" s="435"/>
    </row>
    <row r="11" spans="2:8" x14ac:dyDescent="0.4">
      <c r="D11" s="435" t="s">
        <v>272</v>
      </c>
      <c r="E11" s="435"/>
    </row>
    <row r="12" spans="2:8" x14ac:dyDescent="0.4">
      <c r="B12" s="436" t="s">
        <v>245</v>
      </c>
      <c r="C12" s="436"/>
      <c r="D12" s="436"/>
      <c r="E12" s="436"/>
      <c r="F12" s="436"/>
      <c r="G12" s="436"/>
    </row>
  </sheetData>
  <mergeCells count="5">
    <mergeCell ref="B3:G3"/>
    <mergeCell ref="B10:G10"/>
    <mergeCell ref="B12:G12"/>
    <mergeCell ref="D11:E11"/>
    <mergeCell ref="B5:G5"/>
  </mergeCells>
  <printOptions horizontalCentered="1" verticalCentered="1"/>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FQ125"/>
  <sheetViews>
    <sheetView zoomScale="110" zoomScaleNormal="110" zoomScaleSheetLayoutView="100" workbookViewId="0"/>
  </sheetViews>
  <sheetFormatPr defaultColWidth="9" defaultRowHeight="13" x14ac:dyDescent="0.3"/>
  <cols>
    <col min="1" max="1" width="13.84375" style="117" customWidth="1"/>
    <col min="2" max="2" width="27.15234375" style="117" customWidth="1"/>
    <col min="3" max="3" width="15.15234375" style="117" customWidth="1"/>
    <col min="4" max="4" width="7.61328125" style="117" customWidth="1"/>
    <col min="5" max="5" width="16.3828125" style="117" customWidth="1"/>
    <col min="6" max="6" width="2.3828125" style="117" customWidth="1"/>
    <col min="7" max="7" width="3.23046875" style="117" customWidth="1"/>
    <col min="8" max="8" width="13.23046875" style="117" customWidth="1" collapsed="1"/>
    <col min="9" max="19" width="13.23046875" style="117" customWidth="1"/>
    <col min="20" max="16384" width="9" style="117"/>
  </cols>
  <sheetData>
    <row r="1" spans="2:19" ht="33" customHeight="1" x14ac:dyDescent="0.4">
      <c r="B1" s="119" t="s">
        <v>156</v>
      </c>
    </row>
    <row r="2" spans="2:19" ht="17" x14ac:dyDescent="0.4">
      <c r="B2" s="120" t="s">
        <v>223</v>
      </c>
      <c r="N2" s="248"/>
      <c r="O2" s="248"/>
    </row>
    <row r="3" spans="2:19" ht="16" thickBot="1" x14ac:dyDescent="0.4">
      <c r="B3" s="121"/>
      <c r="I3" s="249" t="s">
        <v>115</v>
      </c>
      <c r="N3" s="248"/>
      <c r="O3" s="248"/>
    </row>
    <row r="4" spans="2:19" ht="28.5" customHeight="1" x14ac:dyDescent="0.45">
      <c r="B4" s="122" t="s">
        <v>224</v>
      </c>
      <c r="C4" s="123" t="s">
        <v>74</v>
      </c>
      <c r="D4" s="123"/>
      <c r="E4" s="123" t="s">
        <v>75</v>
      </c>
      <c r="F4" s="124"/>
      <c r="G4" s="124"/>
      <c r="H4" s="124"/>
      <c r="I4" s="250"/>
      <c r="J4" s="444" t="s">
        <v>116</v>
      </c>
      <c r="K4" s="444"/>
      <c r="L4" s="444"/>
      <c r="M4" s="444"/>
      <c r="N4" s="251" t="s">
        <v>119</v>
      </c>
      <c r="O4" s="252" t="s">
        <v>9</v>
      </c>
      <c r="P4" s="251" t="s">
        <v>120</v>
      </c>
      <c r="Q4" s="251" t="s">
        <v>121</v>
      </c>
      <c r="R4" s="253" t="s">
        <v>109</v>
      </c>
    </row>
    <row r="5" spans="2:19" x14ac:dyDescent="0.3">
      <c r="B5" s="125" t="s">
        <v>225</v>
      </c>
      <c r="C5" s="254">
        <f>E5/E7</f>
        <v>0.1</v>
      </c>
      <c r="D5" s="126"/>
      <c r="E5" s="288">
        <v>200000</v>
      </c>
      <c r="F5" s="127"/>
      <c r="G5" s="127"/>
      <c r="H5" s="127"/>
      <c r="I5" s="256" t="s">
        <v>57</v>
      </c>
      <c r="J5" s="257" t="s">
        <v>110</v>
      </c>
      <c r="K5" s="258">
        <v>0</v>
      </c>
      <c r="L5" s="259" t="s">
        <v>111</v>
      </c>
      <c r="M5" s="260">
        <v>0.12</v>
      </c>
      <c r="N5" s="261">
        <f>$C$5</f>
        <v>0.1</v>
      </c>
      <c r="O5" s="262">
        <v>0</v>
      </c>
      <c r="P5" s="261">
        <f>SUM(N5:O5)</f>
        <v>0.1</v>
      </c>
      <c r="Q5" s="261">
        <f>1-P5</f>
        <v>0.9</v>
      </c>
      <c r="R5" s="263">
        <f>SUM(P5:Q5)</f>
        <v>1</v>
      </c>
    </row>
    <row r="6" spans="2:19" x14ac:dyDescent="0.3">
      <c r="B6" s="128" t="s">
        <v>226</v>
      </c>
      <c r="C6" s="264">
        <f>1-C5</f>
        <v>0.9</v>
      </c>
      <c r="D6" s="129"/>
      <c r="E6" s="289">
        <v>1800000</v>
      </c>
      <c r="F6" s="127"/>
      <c r="G6" s="127"/>
      <c r="H6" s="127"/>
      <c r="I6" s="256" t="s">
        <v>65</v>
      </c>
      <c r="J6" s="257" t="s">
        <v>112</v>
      </c>
      <c r="K6" s="258">
        <f>M5</f>
        <v>0.12</v>
      </c>
      <c r="L6" s="259" t="s">
        <v>111</v>
      </c>
      <c r="M6" s="260">
        <v>0.18</v>
      </c>
      <c r="N6" s="261">
        <f>$C$5</f>
        <v>0.1</v>
      </c>
      <c r="O6" s="262">
        <v>0.1</v>
      </c>
      <c r="P6" s="261">
        <f>SUM(N6:O6)</f>
        <v>0.2</v>
      </c>
      <c r="Q6" s="261">
        <f>1-P6</f>
        <v>0.8</v>
      </c>
      <c r="R6" s="263">
        <f>SUM(P6:Q6)</f>
        <v>1</v>
      </c>
    </row>
    <row r="7" spans="2:19" x14ac:dyDescent="0.3">
      <c r="B7" s="130" t="s">
        <v>227</v>
      </c>
      <c r="C7" s="131">
        <f>SUM(C5:C6)</f>
        <v>1</v>
      </c>
      <c r="D7" s="132"/>
      <c r="E7" s="290">
        <f>SUM(E5:E6)</f>
        <v>2000000</v>
      </c>
      <c r="F7" s="127"/>
      <c r="G7" s="127"/>
      <c r="H7" s="127"/>
      <c r="I7" s="256" t="s">
        <v>79</v>
      </c>
      <c r="J7" s="257" t="s">
        <v>112</v>
      </c>
      <c r="K7" s="258">
        <f>M6</f>
        <v>0.18</v>
      </c>
      <c r="L7" s="259" t="s">
        <v>111</v>
      </c>
      <c r="M7" s="260">
        <v>0.2</v>
      </c>
      <c r="N7" s="261">
        <f>$C$5</f>
        <v>0.1</v>
      </c>
      <c r="O7" s="262">
        <v>0.25</v>
      </c>
      <c r="P7" s="261">
        <f>SUM(N7:O7)</f>
        <v>0.35</v>
      </c>
      <c r="Q7" s="261">
        <f>1-P7</f>
        <v>0.65</v>
      </c>
      <c r="R7" s="263">
        <f>SUM(P7:Q7)</f>
        <v>1</v>
      </c>
    </row>
    <row r="8" spans="2:19" x14ac:dyDescent="0.3">
      <c r="F8" s="127"/>
      <c r="G8" s="127"/>
      <c r="H8" s="127"/>
      <c r="I8" s="256" t="s">
        <v>113</v>
      </c>
      <c r="J8" s="257" t="s">
        <v>112</v>
      </c>
      <c r="K8" s="258">
        <f>M7</f>
        <v>0.2</v>
      </c>
      <c r="L8" s="259" t="s">
        <v>111</v>
      </c>
      <c r="M8" s="260">
        <v>0.22</v>
      </c>
      <c r="N8" s="261">
        <f>$C$5</f>
        <v>0.1</v>
      </c>
      <c r="O8" s="262">
        <v>0.35</v>
      </c>
      <c r="P8" s="261">
        <f>SUM(N8:O8)</f>
        <v>0.44999999999999996</v>
      </c>
      <c r="Q8" s="261">
        <f>1-P8</f>
        <v>0.55000000000000004</v>
      </c>
      <c r="R8" s="263">
        <f>SUM(P8:Q8)</f>
        <v>1</v>
      </c>
    </row>
    <row r="9" spans="2:19" ht="13.5" thickBot="1" x14ac:dyDescent="0.35">
      <c r="B9" s="117" t="s">
        <v>78</v>
      </c>
      <c r="F9" s="127"/>
      <c r="G9" s="127"/>
      <c r="H9" s="127"/>
      <c r="I9" s="266" t="s">
        <v>114</v>
      </c>
      <c r="J9" s="267"/>
      <c r="K9" s="267"/>
      <c r="L9" s="268" t="s">
        <v>112</v>
      </c>
      <c r="M9" s="269">
        <v>0.22</v>
      </c>
      <c r="N9" s="270">
        <f>$C$5</f>
        <v>0.1</v>
      </c>
      <c r="O9" s="271">
        <v>0.5</v>
      </c>
      <c r="P9" s="270">
        <f>SUM(N9:O9)</f>
        <v>0.6</v>
      </c>
      <c r="Q9" s="270">
        <f>1-P9</f>
        <v>0.4</v>
      </c>
      <c r="R9" s="272">
        <f>SUM(P9:Q9)</f>
        <v>1</v>
      </c>
    </row>
    <row r="10" spans="2:19" ht="127.5" customHeight="1" x14ac:dyDescent="0.3">
      <c r="B10" s="445" t="s">
        <v>222</v>
      </c>
      <c r="C10" s="445"/>
      <c r="D10" s="445"/>
      <c r="N10" s="248"/>
      <c r="O10" s="248"/>
    </row>
    <row r="11" spans="2:19" x14ac:dyDescent="0.3">
      <c r="E11" s="273" t="s">
        <v>67</v>
      </c>
      <c r="F11" s="134"/>
      <c r="G11" s="134"/>
      <c r="H11" s="134"/>
      <c r="I11" s="134"/>
      <c r="J11" s="134"/>
      <c r="K11" s="274"/>
      <c r="L11" s="274"/>
      <c r="M11" s="274"/>
      <c r="N11" s="274"/>
      <c r="O11" s="274"/>
      <c r="P11" s="274"/>
      <c r="Q11" s="274"/>
      <c r="R11" s="274"/>
      <c r="S11" s="274"/>
    </row>
    <row r="12" spans="2:19" x14ac:dyDescent="0.3">
      <c r="C12" s="135"/>
      <c r="D12" s="135"/>
      <c r="E12" s="135"/>
      <c r="F12" s="135"/>
      <c r="G12" s="135"/>
      <c r="H12" s="275">
        <v>40544</v>
      </c>
      <c r="I12" s="275">
        <v>40575</v>
      </c>
      <c r="J12" s="275">
        <v>40603</v>
      </c>
      <c r="K12" s="275">
        <v>40634</v>
      </c>
      <c r="L12" s="275">
        <v>40664</v>
      </c>
      <c r="M12" s="275">
        <v>40695</v>
      </c>
      <c r="N12" s="275">
        <v>40725</v>
      </c>
      <c r="O12" s="275">
        <v>40756</v>
      </c>
      <c r="P12" s="275">
        <v>40787</v>
      </c>
      <c r="Q12" s="275">
        <v>40817</v>
      </c>
      <c r="R12" s="275">
        <v>40848</v>
      </c>
      <c r="S12" s="275">
        <v>40878</v>
      </c>
    </row>
    <row r="13" spans="2:19" x14ac:dyDescent="0.3">
      <c r="B13" s="136"/>
      <c r="O13" s="248"/>
    </row>
    <row r="14" spans="2:19" x14ac:dyDescent="0.3">
      <c r="B14" s="117" t="s">
        <v>68</v>
      </c>
      <c r="E14" s="138">
        <f>SUM(H14:S14)</f>
        <v>-20000000</v>
      </c>
      <c r="F14" s="138"/>
      <c r="G14" s="138"/>
      <c r="H14" s="118">
        <f>IF(H16&lt;0,H16,0)</f>
        <v>-2000000</v>
      </c>
      <c r="I14" s="118">
        <f t="shared" ref="I14:S14" si="0">IF(I16&lt;0,I16,0)</f>
        <v>-2500000</v>
      </c>
      <c r="J14" s="118">
        <f t="shared" si="0"/>
        <v>-10000000</v>
      </c>
      <c r="K14" s="118">
        <f t="shared" si="0"/>
        <v>-2000000</v>
      </c>
      <c r="L14" s="118">
        <f t="shared" si="0"/>
        <v>-3000000</v>
      </c>
      <c r="M14" s="118">
        <f t="shared" si="0"/>
        <v>-400000</v>
      </c>
      <c r="N14" s="118">
        <f t="shared" si="0"/>
        <v>-100000</v>
      </c>
      <c r="O14" s="118">
        <f t="shared" si="0"/>
        <v>0</v>
      </c>
      <c r="P14" s="118">
        <f t="shared" si="0"/>
        <v>0</v>
      </c>
      <c r="Q14" s="118">
        <f t="shared" si="0"/>
        <v>0</v>
      </c>
      <c r="R14" s="118">
        <f t="shared" si="0"/>
        <v>0</v>
      </c>
      <c r="S14" s="118">
        <f t="shared" si="0"/>
        <v>0</v>
      </c>
    </row>
    <row r="15" spans="2:19" x14ac:dyDescent="0.3">
      <c r="B15" s="117" t="s">
        <v>69</v>
      </c>
      <c r="E15" s="141">
        <f>SUM(H15:S15)</f>
        <v>40300000</v>
      </c>
      <c r="F15" s="141"/>
      <c r="G15" s="141"/>
      <c r="H15" s="142">
        <f t="shared" ref="H15:S15" si="1">IF(H16&gt;0,H16,0)</f>
        <v>0</v>
      </c>
      <c r="I15" s="142">
        <f t="shared" si="1"/>
        <v>0</v>
      </c>
      <c r="J15" s="142">
        <f t="shared" si="1"/>
        <v>0</v>
      </c>
      <c r="K15" s="142">
        <f t="shared" si="1"/>
        <v>0</v>
      </c>
      <c r="L15" s="142">
        <f t="shared" si="1"/>
        <v>0</v>
      </c>
      <c r="M15" s="142">
        <f t="shared" si="1"/>
        <v>0</v>
      </c>
      <c r="N15" s="142">
        <f t="shared" si="1"/>
        <v>0</v>
      </c>
      <c r="O15" s="142">
        <f t="shared" si="1"/>
        <v>75000</v>
      </c>
      <c r="P15" s="142">
        <f t="shared" si="1"/>
        <v>75000</v>
      </c>
      <c r="Q15" s="142">
        <f t="shared" si="1"/>
        <v>75000</v>
      </c>
      <c r="R15" s="142">
        <f t="shared" si="1"/>
        <v>75000</v>
      </c>
      <c r="S15" s="142">
        <f t="shared" si="1"/>
        <v>40000000</v>
      </c>
    </row>
    <row r="16" spans="2:19" x14ac:dyDescent="0.3">
      <c r="B16" s="130" t="s">
        <v>70</v>
      </c>
      <c r="C16" s="143"/>
      <c r="D16" s="143"/>
      <c r="E16" s="137">
        <f>SUM(H16:S16)</f>
        <v>20300000</v>
      </c>
      <c r="F16" s="137"/>
      <c r="G16" s="137"/>
      <c r="H16" s="144">
        <f>'7. Double Promote Waterfall #1'!H16</f>
        <v>-2000000</v>
      </c>
      <c r="I16" s="144">
        <f>'7. Double Promote Waterfall #1'!I16</f>
        <v>-2500000</v>
      </c>
      <c r="J16" s="144">
        <f>'7. Double Promote Waterfall #1'!J16</f>
        <v>-10000000</v>
      </c>
      <c r="K16" s="144">
        <f>'7. Double Promote Waterfall #1'!K16</f>
        <v>-2000000</v>
      </c>
      <c r="L16" s="144">
        <f>'7. Double Promote Waterfall #1'!L16</f>
        <v>-3000000</v>
      </c>
      <c r="M16" s="144">
        <f>'7. Double Promote Waterfall #1'!M16</f>
        <v>-400000</v>
      </c>
      <c r="N16" s="144">
        <f>'7. Double Promote Waterfall #1'!N16</f>
        <v>-100000</v>
      </c>
      <c r="O16" s="144">
        <f>'7. Double Promote Waterfall #1'!O16</f>
        <v>75000</v>
      </c>
      <c r="P16" s="144">
        <f>'7. Double Promote Waterfall #1'!P16</f>
        <v>75000</v>
      </c>
      <c r="Q16" s="144">
        <f>'7. Double Promote Waterfall #1'!Q16</f>
        <v>75000</v>
      </c>
      <c r="R16" s="144">
        <f>'7. Double Promote Waterfall #1'!R16</f>
        <v>75000</v>
      </c>
      <c r="S16" s="144">
        <f>'7. Double Promote Waterfall #1'!S16</f>
        <v>40000000</v>
      </c>
    </row>
    <row r="17" spans="1:173" x14ac:dyDescent="0.3">
      <c r="B17" s="145"/>
      <c r="E17" s="138"/>
      <c r="F17" s="138"/>
      <c r="G17" s="138"/>
      <c r="H17" s="118"/>
      <c r="I17" s="118"/>
      <c r="J17" s="118"/>
      <c r="K17" s="118"/>
      <c r="L17" s="118"/>
      <c r="M17" s="118"/>
      <c r="N17" s="118"/>
      <c r="O17" s="118"/>
      <c r="P17" s="118"/>
      <c r="Q17" s="118"/>
      <c r="R17" s="118"/>
      <c r="S17" s="11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c r="FO17" s="188"/>
      <c r="FP17" s="188"/>
      <c r="FQ17" s="188"/>
    </row>
    <row r="18" spans="1:173" x14ac:dyDescent="0.3">
      <c r="B18" s="248" t="s">
        <v>230</v>
      </c>
      <c r="E18" s="138">
        <f>SUM(H18:S18)</f>
        <v>4030000</v>
      </c>
      <c r="F18" s="138"/>
      <c r="G18" s="138"/>
      <c r="H18" s="118">
        <f>'7. Double Promote Waterfall #1'!H101</f>
        <v>0</v>
      </c>
      <c r="I18" s="118">
        <f>'7. Double Promote Waterfall #1'!I101</f>
        <v>0</v>
      </c>
      <c r="J18" s="118">
        <f>'7. Double Promote Waterfall #1'!J101</f>
        <v>0</v>
      </c>
      <c r="K18" s="118">
        <f>'7. Double Promote Waterfall #1'!K101</f>
        <v>0</v>
      </c>
      <c r="L18" s="118">
        <f>'7. Double Promote Waterfall #1'!L101</f>
        <v>0</v>
      </c>
      <c r="M18" s="118">
        <f>'7. Double Promote Waterfall #1'!M101</f>
        <v>0</v>
      </c>
      <c r="N18" s="118">
        <f>'7. Double Promote Waterfall #1'!N101</f>
        <v>0</v>
      </c>
      <c r="O18" s="118">
        <f>'7. Double Promote Waterfall #1'!O101</f>
        <v>7500</v>
      </c>
      <c r="P18" s="118">
        <f>'7. Double Promote Waterfall #1'!P101</f>
        <v>7500</v>
      </c>
      <c r="Q18" s="118">
        <f>'7. Double Promote Waterfall #1'!Q101</f>
        <v>7500</v>
      </c>
      <c r="R18" s="118">
        <f>'7. Double Promote Waterfall #1'!R101</f>
        <v>7500</v>
      </c>
      <c r="S18" s="118">
        <f>'7. Double Promote Waterfall #1'!S101</f>
        <v>4000000</v>
      </c>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188"/>
      <c r="DJ18" s="188"/>
      <c r="DK18" s="188"/>
      <c r="DL18" s="188"/>
      <c r="DM18" s="188"/>
      <c r="DN18" s="188"/>
      <c r="DO18" s="188"/>
      <c r="DP18" s="188"/>
      <c r="DQ18" s="188"/>
      <c r="DR18" s="188"/>
      <c r="DS18" s="188"/>
      <c r="DT18" s="188"/>
      <c r="DU18" s="188"/>
      <c r="DV18" s="188"/>
      <c r="DW18" s="188"/>
      <c r="DX18" s="188"/>
      <c r="DY18" s="188"/>
      <c r="DZ18" s="188"/>
      <c r="EA18" s="188"/>
      <c r="EB18" s="188"/>
      <c r="EC18" s="188"/>
      <c r="ED18" s="188"/>
      <c r="EE18" s="188"/>
      <c r="EF18" s="188"/>
      <c r="EG18" s="188"/>
      <c r="EH18" s="188"/>
      <c r="EI18" s="188"/>
      <c r="EJ18" s="188"/>
      <c r="EK18" s="188"/>
      <c r="EL18" s="188"/>
      <c r="EM18" s="188"/>
      <c r="EN18" s="188"/>
      <c r="EO18" s="188"/>
      <c r="EP18" s="188"/>
      <c r="EQ18" s="188"/>
      <c r="ER18" s="188"/>
      <c r="ES18" s="188"/>
      <c r="ET18" s="188"/>
      <c r="EU18" s="188"/>
      <c r="EV18" s="188"/>
      <c r="EW18" s="188"/>
      <c r="EX18" s="188"/>
      <c r="EY18" s="188"/>
      <c r="EZ18" s="188"/>
      <c r="FA18" s="188"/>
      <c r="FB18" s="188"/>
      <c r="FC18" s="188"/>
      <c r="FD18" s="188"/>
      <c r="FE18" s="188"/>
      <c r="FF18" s="188"/>
      <c r="FG18" s="188"/>
      <c r="FH18" s="188"/>
      <c r="FI18" s="188"/>
      <c r="FJ18" s="188"/>
      <c r="FK18" s="188"/>
      <c r="FL18" s="188"/>
      <c r="FM18" s="188"/>
      <c r="FN18" s="188"/>
      <c r="FO18" s="188"/>
      <c r="FP18" s="188"/>
      <c r="FQ18" s="188"/>
    </row>
    <row r="19" spans="1:173" x14ac:dyDescent="0.3">
      <c r="B19" s="291" t="s">
        <v>231</v>
      </c>
      <c r="E19" s="141">
        <f>SUM(H19:S19)</f>
        <v>8667570.7711139191</v>
      </c>
      <c r="F19" s="141"/>
      <c r="G19" s="141"/>
      <c r="H19" s="142">
        <f>'7. Double Promote Waterfall #1'!H102</f>
        <v>0</v>
      </c>
      <c r="I19" s="142">
        <f>'7. Double Promote Waterfall #1'!I102</f>
        <v>0</v>
      </c>
      <c r="J19" s="142">
        <f>'7. Double Promote Waterfall #1'!J102</f>
        <v>0</v>
      </c>
      <c r="K19" s="142">
        <f>'7. Double Promote Waterfall #1'!K102</f>
        <v>0</v>
      </c>
      <c r="L19" s="142">
        <f>'7. Double Promote Waterfall #1'!L102</f>
        <v>0</v>
      </c>
      <c r="M19" s="142">
        <f>'7. Double Promote Waterfall #1'!M102</f>
        <v>0</v>
      </c>
      <c r="N19" s="142">
        <f>'7. Double Promote Waterfall #1'!N102</f>
        <v>0</v>
      </c>
      <c r="O19" s="142">
        <f>'7. Double Promote Waterfall #1'!O102</f>
        <v>0</v>
      </c>
      <c r="P19" s="142">
        <f>'7. Double Promote Waterfall #1'!P102</f>
        <v>0</v>
      </c>
      <c r="Q19" s="142">
        <f>'7. Double Promote Waterfall #1'!Q102</f>
        <v>0</v>
      </c>
      <c r="R19" s="142">
        <f>'7. Double Promote Waterfall #1'!R102</f>
        <v>0</v>
      </c>
      <c r="S19" s="142">
        <f>'7. Double Promote Waterfall #1'!S102</f>
        <v>8667570.7711139191</v>
      </c>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8"/>
      <c r="DI19" s="188"/>
      <c r="DJ19" s="188"/>
      <c r="DK19" s="188"/>
      <c r="DL19" s="188"/>
      <c r="DM19" s="188"/>
      <c r="DN19" s="188"/>
      <c r="DO19" s="188"/>
      <c r="DP19" s="188"/>
      <c r="DQ19" s="188"/>
      <c r="DR19" s="188"/>
      <c r="DS19" s="188"/>
      <c r="DT19" s="188"/>
      <c r="DU19" s="188"/>
      <c r="DV19" s="188"/>
      <c r="DW19" s="188"/>
      <c r="DX19" s="188"/>
      <c r="DY19" s="188"/>
      <c r="DZ19" s="188"/>
      <c r="EA19" s="188"/>
      <c r="EB19" s="188"/>
      <c r="EC19" s="188"/>
      <c r="ED19" s="188"/>
      <c r="EE19" s="188"/>
      <c r="EF19" s="188"/>
      <c r="EG19" s="188"/>
      <c r="EH19" s="188"/>
      <c r="EI19" s="188"/>
      <c r="EJ19" s="188"/>
      <c r="EK19" s="188"/>
      <c r="EL19" s="188"/>
      <c r="EM19" s="188"/>
      <c r="EN19" s="188"/>
      <c r="EO19" s="188"/>
      <c r="EP19" s="188"/>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188"/>
      <c r="FM19" s="188"/>
      <c r="FN19" s="188"/>
      <c r="FO19" s="188"/>
      <c r="FP19" s="188"/>
      <c r="FQ19" s="188"/>
    </row>
    <row r="20" spans="1:173" x14ac:dyDescent="0.3">
      <c r="B20" s="248" t="s">
        <v>228</v>
      </c>
      <c r="E20" s="138">
        <f>SUM(H20:S20)</f>
        <v>12697570.771113919</v>
      </c>
      <c r="F20" s="138"/>
      <c r="G20" s="138"/>
      <c r="H20" s="118">
        <f>SUM(H18:H19)</f>
        <v>0</v>
      </c>
      <c r="I20" s="118">
        <f t="shared" ref="I20:S20" si="2">SUM(I18:I19)</f>
        <v>0</v>
      </c>
      <c r="J20" s="118">
        <f t="shared" si="2"/>
        <v>0</v>
      </c>
      <c r="K20" s="118">
        <f t="shared" si="2"/>
        <v>0</v>
      </c>
      <c r="L20" s="118">
        <f t="shared" si="2"/>
        <v>0</v>
      </c>
      <c r="M20" s="118">
        <f t="shared" si="2"/>
        <v>0</v>
      </c>
      <c r="N20" s="118">
        <f t="shared" si="2"/>
        <v>0</v>
      </c>
      <c r="O20" s="118">
        <f t="shared" si="2"/>
        <v>7500</v>
      </c>
      <c r="P20" s="118">
        <f t="shared" si="2"/>
        <v>7500</v>
      </c>
      <c r="Q20" s="118">
        <f t="shared" si="2"/>
        <v>7500</v>
      </c>
      <c r="R20" s="118">
        <f t="shared" si="2"/>
        <v>7500</v>
      </c>
      <c r="S20" s="118">
        <f t="shared" si="2"/>
        <v>12667570.771113919</v>
      </c>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8"/>
      <c r="BO20" s="188"/>
      <c r="BP20" s="188"/>
      <c r="BQ20" s="188"/>
      <c r="BR20" s="188"/>
      <c r="BS20" s="188"/>
      <c r="BT20" s="188"/>
      <c r="BU20" s="188"/>
      <c r="BV20" s="188"/>
      <c r="BW20" s="188"/>
      <c r="BX20" s="188"/>
      <c r="BY20" s="188"/>
      <c r="BZ20" s="188"/>
      <c r="CA20" s="188"/>
      <c r="CB20" s="188"/>
      <c r="CC20" s="188"/>
      <c r="CD20" s="188"/>
      <c r="CE20" s="188"/>
      <c r="CF20" s="188"/>
      <c r="CG20" s="188"/>
      <c r="CH20" s="188"/>
      <c r="CI20" s="188"/>
      <c r="CJ20" s="188"/>
      <c r="CK20" s="188"/>
      <c r="CL20" s="188"/>
      <c r="CM20" s="188"/>
      <c r="CN20" s="188"/>
      <c r="CO20" s="188"/>
      <c r="CP20" s="188"/>
      <c r="CQ20" s="188"/>
      <c r="CR20" s="188"/>
      <c r="CS20" s="188"/>
      <c r="CT20" s="188"/>
      <c r="CU20" s="188"/>
      <c r="CV20" s="188"/>
      <c r="CW20" s="188"/>
      <c r="CX20" s="188"/>
      <c r="CY20" s="188"/>
      <c r="CZ20" s="188"/>
      <c r="DA20" s="188"/>
      <c r="DB20" s="188"/>
      <c r="DC20" s="188"/>
      <c r="DD20" s="188"/>
      <c r="DE20" s="188"/>
      <c r="DF20" s="188"/>
      <c r="DG20" s="188"/>
      <c r="DH20" s="188"/>
      <c r="DI20" s="188"/>
      <c r="DJ20" s="188"/>
      <c r="DK20" s="188"/>
      <c r="DL20" s="188"/>
      <c r="DM20" s="188"/>
      <c r="DN20" s="188"/>
      <c r="DO20" s="188"/>
      <c r="DP20" s="188"/>
      <c r="DQ20" s="188"/>
      <c r="DR20" s="188"/>
      <c r="DS20" s="188"/>
      <c r="DT20" s="188"/>
      <c r="DU20" s="188"/>
      <c r="DV20" s="188"/>
      <c r="DW20" s="188"/>
      <c r="DX20" s="188"/>
      <c r="DY20" s="188"/>
      <c r="DZ20" s="188"/>
      <c r="EA20" s="188"/>
      <c r="EB20" s="188"/>
      <c r="EC20" s="188"/>
      <c r="ED20" s="188"/>
      <c r="EE20" s="188"/>
      <c r="EF20" s="188"/>
      <c r="EG20" s="188"/>
      <c r="EH20" s="188"/>
      <c r="EI20" s="188"/>
      <c r="EJ20" s="188"/>
      <c r="EK20" s="188"/>
      <c r="EL20" s="188"/>
      <c r="EM20" s="188"/>
      <c r="EN20" s="188"/>
      <c r="EO20" s="188"/>
      <c r="EP20" s="188"/>
      <c r="EQ20" s="188"/>
      <c r="ER20" s="188"/>
      <c r="ES20" s="188"/>
      <c r="ET20" s="188"/>
      <c r="EU20" s="188"/>
      <c r="EV20" s="188"/>
      <c r="EW20" s="188"/>
      <c r="EX20" s="188"/>
      <c r="EY20" s="188"/>
      <c r="EZ20" s="188"/>
      <c r="FA20" s="188"/>
      <c r="FB20" s="188"/>
      <c r="FC20" s="188"/>
      <c r="FD20" s="188"/>
      <c r="FE20" s="188"/>
      <c r="FF20" s="188"/>
      <c r="FG20" s="188"/>
      <c r="FH20" s="188"/>
      <c r="FI20" s="188"/>
      <c r="FJ20" s="188"/>
      <c r="FK20" s="188"/>
      <c r="FL20" s="188"/>
      <c r="FM20" s="188"/>
      <c r="FN20" s="188"/>
      <c r="FO20" s="188"/>
      <c r="FP20" s="188"/>
      <c r="FQ20" s="188"/>
    </row>
    <row r="21" spans="1:173" x14ac:dyDescent="0.3">
      <c r="B21" s="145"/>
      <c r="E21" s="138"/>
      <c r="F21" s="138"/>
      <c r="G21" s="138"/>
      <c r="H21" s="118"/>
      <c r="I21" s="118"/>
      <c r="J21" s="118"/>
      <c r="K21" s="118"/>
      <c r="L21" s="118"/>
      <c r="M21" s="118"/>
      <c r="N21" s="118"/>
      <c r="O21" s="118"/>
      <c r="P21" s="118"/>
      <c r="Q21" s="118"/>
      <c r="R21" s="118"/>
      <c r="S21" s="11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188"/>
      <c r="CK21" s="188"/>
      <c r="CL21" s="188"/>
      <c r="CM21" s="188"/>
      <c r="CN21" s="188"/>
      <c r="CO21" s="188"/>
      <c r="CP21" s="188"/>
      <c r="CQ21" s="188"/>
      <c r="CR21" s="188"/>
      <c r="CS21" s="188"/>
      <c r="CT21" s="188"/>
      <c r="CU21" s="188"/>
      <c r="CV21" s="188"/>
      <c r="CW21" s="188"/>
      <c r="CX21" s="188"/>
      <c r="CY21" s="188"/>
      <c r="CZ21" s="188"/>
      <c r="DA21" s="188"/>
      <c r="DB21" s="188"/>
      <c r="DC21" s="188"/>
      <c r="DD21" s="188"/>
      <c r="DE21" s="188"/>
      <c r="DF21" s="188"/>
      <c r="DG21" s="188"/>
      <c r="DH21" s="188"/>
      <c r="DI21" s="188"/>
      <c r="DJ21" s="188"/>
      <c r="DK21" s="188"/>
      <c r="DL21" s="188"/>
      <c r="DM21" s="188"/>
      <c r="DN21" s="188"/>
      <c r="DO21" s="188"/>
      <c r="DP21" s="188"/>
      <c r="DQ21" s="188"/>
      <c r="DR21" s="188"/>
      <c r="DS21" s="188"/>
      <c r="DT21" s="188"/>
      <c r="DU21" s="188"/>
      <c r="DV21" s="188"/>
      <c r="DW21" s="188"/>
      <c r="DX21" s="188"/>
      <c r="DY21" s="188"/>
      <c r="DZ21" s="188"/>
      <c r="EA21" s="188"/>
      <c r="EB21" s="188"/>
      <c r="EC21" s="188"/>
      <c r="ED21" s="188"/>
      <c r="EE21" s="188"/>
      <c r="EF21" s="188"/>
      <c r="EG21" s="188"/>
      <c r="EH21" s="188"/>
      <c r="EI21" s="188"/>
      <c r="EJ21" s="188"/>
      <c r="EK21" s="188"/>
      <c r="EL21" s="188"/>
      <c r="EM21" s="188"/>
      <c r="EN21" s="188"/>
      <c r="EO21" s="188"/>
      <c r="EP21" s="188"/>
      <c r="EQ21" s="188"/>
      <c r="ER21" s="188"/>
      <c r="ES21" s="188"/>
      <c r="ET21" s="188"/>
      <c r="EU21" s="188"/>
      <c r="EV21" s="188"/>
      <c r="EW21" s="188"/>
      <c r="EX21" s="188"/>
      <c r="EY21" s="188"/>
      <c r="EZ21" s="188"/>
      <c r="FA21" s="188"/>
      <c r="FB21" s="188"/>
      <c r="FC21" s="188"/>
      <c r="FD21" s="188"/>
      <c r="FE21" s="188"/>
      <c r="FF21" s="188"/>
      <c r="FG21" s="188"/>
      <c r="FH21" s="188"/>
      <c r="FI21" s="188"/>
      <c r="FJ21" s="188"/>
      <c r="FK21" s="188"/>
      <c r="FL21" s="188"/>
      <c r="FM21" s="188"/>
      <c r="FN21" s="188"/>
      <c r="FO21" s="188"/>
      <c r="FP21" s="188"/>
      <c r="FQ21" s="188"/>
    </row>
    <row r="22" spans="1:173" x14ac:dyDescent="0.3">
      <c r="B22" s="146" t="s">
        <v>229</v>
      </c>
      <c r="E22" s="137">
        <f>SUM(H22:S22)</f>
        <v>-1800000</v>
      </c>
      <c r="F22" s="138"/>
      <c r="G22" s="138"/>
      <c r="H22" s="138">
        <v>-1800000</v>
      </c>
      <c r="I22" s="138">
        <v>0</v>
      </c>
      <c r="J22" s="138">
        <v>0</v>
      </c>
      <c r="K22" s="138">
        <v>0</v>
      </c>
      <c r="L22" s="138">
        <v>0</v>
      </c>
      <c r="M22" s="138">
        <v>0</v>
      </c>
      <c r="N22" s="138">
        <v>0</v>
      </c>
      <c r="O22" s="138">
        <v>0</v>
      </c>
      <c r="P22" s="138">
        <v>0</v>
      </c>
      <c r="Q22" s="138">
        <v>0</v>
      </c>
      <c r="R22" s="138">
        <v>0</v>
      </c>
      <c r="S22" s="138">
        <v>0</v>
      </c>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8"/>
      <c r="CS22" s="188"/>
      <c r="CT22" s="188"/>
      <c r="CU22" s="188"/>
      <c r="CV22" s="188"/>
      <c r="CW22" s="188"/>
      <c r="CX22" s="188"/>
      <c r="CY22" s="188"/>
      <c r="CZ22" s="188"/>
      <c r="DA22" s="188"/>
      <c r="DB22" s="188"/>
      <c r="DC22" s="188"/>
      <c r="DD22" s="188"/>
      <c r="DE22" s="188"/>
      <c r="DF22" s="188"/>
      <c r="DG22" s="188"/>
      <c r="DH22" s="188"/>
      <c r="DI22" s="188"/>
      <c r="DJ22" s="188"/>
      <c r="DK22" s="188"/>
      <c r="DL22" s="188"/>
      <c r="DM22" s="188"/>
      <c r="DN22" s="188"/>
      <c r="DO22" s="188"/>
      <c r="DP22" s="188"/>
      <c r="DQ22" s="188"/>
      <c r="DR22" s="188"/>
      <c r="DS22" s="188"/>
      <c r="DT22" s="188"/>
      <c r="DU22" s="188"/>
      <c r="DV22" s="188"/>
      <c r="DW22" s="188"/>
      <c r="DX22" s="188"/>
      <c r="DY22" s="188"/>
      <c r="DZ22" s="188"/>
      <c r="EA22" s="188"/>
      <c r="EB22" s="188"/>
      <c r="EC22" s="188"/>
      <c r="ED22" s="188"/>
      <c r="EE22" s="188"/>
      <c r="EF22" s="188"/>
      <c r="EG22" s="188"/>
      <c r="EH22" s="188"/>
      <c r="EI22" s="188"/>
      <c r="EJ22" s="188"/>
      <c r="EK22" s="188"/>
      <c r="EL22" s="188"/>
      <c r="EM22" s="188"/>
      <c r="EN22" s="188"/>
      <c r="EO22" s="188"/>
      <c r="EP22" s="188"/>
      <c r="EQ22" s="188"/>
      <c r="ER22" s="188"/>
      <c r="ES22" s="188"/>
      <c r="ET22" s="188"/>
      <c r="EU22" s="188"/>
      <c r="EV22" s="188"/>
      <c r="EW22" s="188"/>
      <c r="EX22" s="188"/>
      <c r="EY22" s="188"/>
      <c r="EZ22" s="188"/>
      <c r="FA22" s="188"/>
      <c r="FB22" s="188"/>
      <c r="FC22" s="188"/>
      <c r="FD22" s="188"/>
      <c r="FE22" s="188"/>
      <c r="FF22" s="188"/>
      <c r="FG22" s="188"/>
      <c r="FH22" s="188"/>
      <c r="FI22" s="188"/>
      <c r="FJ22" s="188"/>
      <c r="FK22" s="188"/>
      <c r="FL22" s="188"/>
      <c r="FM22" s="188"/>
      <c r="FN22" s="188"/>
      <c r="FO22" s="188"/>
      <c r="FP22" s="188"/>
      <c r="FQ22" s="188"/>
    </row>
    <row r="23" spans="1:173" x14ac:dyDescent="0.3">
      <c r="B23" s="145"/>
      <c r="E23" s="138"/>
      <c r="F23" s="138"/>
      <c r="G23" s="138"/>
      <c r="H23" s="118"/>
      <c r="I23" s="118"/>
      <c r="J23" s="118"/>
      <c r="K23" s="118"/>
      <c r="L23" s="118"/>
      <c r="M23" s="118"/>
      <c r="N23" s="118"/>
      <c r="O23" s="118"/>
      <c r="P23" s="118"/>
      <c r="Q23" s="118"/>
      <c r="R23" s="118"/>
      <c r="S23" s="11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8"/>
      <c r="BL23" s="188"/>
      <c r="BM23" s="188"/>
      <c r="BN23" s="188"/>
      <c r="BO23" s="188"/>
      <c r="BP23" s="188"/>
      <c r="BQ23" s="188"/>
      <c r="BR23" s="188"/>
      <c r="BS23" s="188"/>
      <c r="BT23" s="188"/>
      <c r="BU23" s="188"/>
      <c r="BV23" s="188"/>
      <c r="BW23" s="188"/>
      <c r="BX23" s="188"/>
      <c r="BY23" s="188"/>
      <c r="BZ23" s="188"/>
      <c r="CA23" s="188"/>
      <c r="CB23" s="188"/>
      <c r="CC23" s="188"/>
      <c r="CD23" s="188"/>
      <c r="CE23" s="188"/>
      <c r="CF23" s="188"/>
      <c r="CG23" s="188"/>
      <c r="CH23" s="188"/>
      <c r="CI23" s="188"/>
      <c r="CJ23" s="188"/>
      <c r="CK23" s="188"/>
      <c r="CL23" s="188"/>
      <c r="CM23" s="188"/>
      <c r="CN23" s="188"/>
      <c r="CO23" s="188"/>
      <c r="CP23" s="188"/>
      <c r="CQ23" s="188"/>
      <c r="CR23" s="188"/>
      <c r="CS23" s="188"/>
      <c r="CT23" s="188"/>
      <c r="CU23" s="188"/>
      <c r="CV23" s="188"/>
      <c r="CW23" s="188"/>
      <c r="CX23" s="188"/>
      <c r="CY23" s="188"/>
      <c r="CZ23" s="188"/>
      <c r="DA23" s="188"/>
      <c r="DB23" s="188"/>
      <c r="DC23" s="188"/>
      <c r="DD23" s="188"/>
      <c r="DE23" s="188"/>
      <c r="DF23" s="188"/>
      <c r="DG23" s="188"/>
      <c r="DH23" s="188"/>
      <c r="DI23" s="188"/>
      <c r="DJ23" s="188"/>
      <c r="DK23" s="188"/>
      <c r="DL23" s="188"/>
      <c r="DM23" s="188"/>
      <c r="DN23" s="188"/>
      <c r="DO23" s="188"/>
      <c r="DP23" s="188"/>
      <c r="DQ23" s="188"/>
      <c r="DR23" s="188"/>
      <c r="DS23" s="188"/>
      <c r="DT23" s="188"/>
      <c r="DU23" s="188"/>
      <c r="DV23" s="188"/>
      <c r="DW23" s="188"/>
      <c r="DX23" s="188"/>
      <c r="DY23" s="188"/>
      <c r="DZ23" s="188"/>
      <c r="EA23" s="188"/>
      <c r="EB23" s="188"/>
      <c r="EC23" s="188"/>
      <c r="ED23" s="188"/>
      <c r="EE23" s="188"/>
      <c r="EF23" s="188"/>
      <c r="EG23" s="188"/>
      <c r="EH23" s="188"/>
      <c r="EI23" s="188"/>
      <c r="EJ23" s="188"/>
      <c r="EK23" s="188"/>
      <c r="EL23" s="188"/>
      <c r="EM23" s="188"/>
      <c r="EN23" s="188"/>
      <c r="EO23" s="188"/>
      <c r="EP23" s="188"/>
      <c r="EQ23" s="188"/>
      <c r="ER23" s="188"/>
      <c r="ES23" s="188"/>
      <c r="ET23" s="188"/>
      <c r="EU23" s="188"/>
      <c r="EV23" s="188"/>
      <c r="EW23" s="188"/>
      <c r="EX23" s="188"/>
      <c r="EY23" s="188"/>
      <c r="EZ23" s="188"/>
      <c r="FA23" s="188"/>
      <c r="FB23" s="188"/>
      <c r="FC23" s="188"/>
      <c r="FD23" s="188"/>
      <c r="FE23" s="188"/>
      <c r="FF23" s="188"/>
      <c r="FG23" s="188"/>
      <c r="FH23" s="188"/>
      <c r="FI23" s="188"/>
      <c r="FJ23" s="188"/>
      <c r="FK23" s="188"/>
      <c r="FL23" s="188"/>
      <c r="FM23" s="188"/>
      <c r="FN23" s="188"/>
      <c r="FO23" s="188"/>
      <c r="FP23" s="188"/>
      <c r="FQ23" s="188"/>
    </row>
    <row r="24" spans="1:173" x14ac:dyDescent="0.3">
      <c r="A24" s="357" t="s">
        <v>162</v>
      </c>
      <c r="B24" s="111" t="s">
        <v>57</v>
      </c>
      <c r="C24" s="148" t="s">
        <v>72</v>
      </c>
      <c r="D24" s="146">
        <f>M5</f>
        <v>0.12</v>
      </c>
      <c r="E24" s="149"/>
      <c r="F24" s="149"/>
      <c r="G24" s="149"/>
      <c r="H24" s="118"/>
      <c r="I24" s="118"/>
      <c r="J24" s="118"/>
      <c r="K24" s="118"/>
      <c r="L24" s="118"/>
      <c r="M24" s="118"/>
      <c r="N24" s="118"/>
      <c r="O24" s="118"/>
      <c r="P24" s="118"/>
      <c r="Q24" s="118"/>
      <c r="R24" s="118"/>
      <c r="S24" s="118"/>
    </row>
    <row r="25" spans="1:173" x14ac:dyDescent="0.3">
      <c r="A25" s="358" t="s">
        <v>163</v>
      </c>
      <c r="B25" s="113" t="s">
        <v>58</v>
      </c>
      <c r="C25" s="150"/>
      <c r="D25" s="150"/>
      <c r="E25" s="151"/>
      <c r="F25" s="151"/>
      <c r="G25" s="151"/>
      <c r="H25" s="152">
        <f>+G29</f>
        <v>0</v>
      </c>
      <c r="I25" s="152">
        <f>+H29</f>
        <v>1800000</v>
      </c>
      <c r="J25" s="152">
        <f>+I29</f>
        <v>1817079.8272822495</v>
      </c>
      <c r="K25" s="152">
        <f>+J29</f>
        <v>1834321.7215089386</v>
      </c>
      <c r="L25" s="152">
        <f>+K29</f>
        <v>1851727.2204997449</v>
      </c>
      <c r="M25" s="152">
        <f t="shared" ref="M25:S25" si="3">+L29</f>
        <v>1869297.876666398</v>
      </c>
      <c r="N25" s="152">
        <f t="shared" si="3"/>
        <v>1887035.2571511413</v>
      </c>
      <c r="O25" s="152">
        <f t="shared" si="3"/>
        <v>1904940.943966506</v>
      </c>
      <c r="P25" s="152">
        <f t="shared" si="3"/>
        <v>1916266.5341364134</v>
      </c>
      <c r="Q25" s="152">
        <f t="shared" si="3"/>
        <v>1927699.5904863048</v>
      </c>
      <c r="R25" s="152">
        <f t="shared" si="3"/>
        <v>1939241.1327405099</v>
      </c>
      <c r="S25" s="212">
        <f t="shared" si="3"/>
        <v>1950892.190299311</v>
      </c>
    </row>
    <row r="26" spans="1:173" x14ac:dyDescent="0.3">
      <c r="B26" s="114" t="s">
        <v>122</v>
      </c>
      <c r="C26" s="153"/>
      <c r="D26" s="153"/>
      <c r="E26" s="154">
        <f>+SUM(H26:S26)</f>
        <v>1800000</v>
      </c>
      <c r="F26" s="154"/>
      <c r="G26" s="154"/>
      <c r="H26" s="155">
        <f>-H22</f>
        <v>1800000</v>
      </c>
      <c r="I26" s="155">
        <f>-I22</f>
        <v>0</v>
      </c>
      <c r="J26" s="155">
        <f>-J22</f>
        <v>0</v>
      </c>
      <c r="K26" s="155">
        <f>-K22</f>
        <v>0</v>
      </c>
      <c r="L26" s="155">
        <f>-L22</f>
        <v>0</v>
      </c>
      <c r="M26" s="155">
        <f t="shared" ref="M26:S26" si="4">-M22</f>
        <v>0</v>
      </c>
      <c r="N26" s="155">
        <f t="shared" si="4"/>
        <v>0</v>
      </c>
      <c r="O26" s="155">
        <f t="shared" si="4"/>
        <v>0</v>
      </c>
      <c r="P26" s="155">
        <f t="shared" si="4"/>
        <v>0</v>
      </c>
      <c r="Q26" s="155">
        <f t="shared" si="4"/>
        <v>0</v>
      </c>
      <c r="R26" s="155">
        <f t="shared" si="4"/>
        <v>0</v>
      </c>
      <c r="S26" s="213">
        <f t="shared" si="4"/>
        <v>0</v>
      </c>
    </row>
    <row r="27" spans="1:173" x14ac:dyDescent="0.3">
      <c r="B27" s="114" t="s">
        <v>123</v>
      </c>
      <c r="C27" s="153"/>
      <c r="D27" s="153"/>
      <c r="E27" s="154">
        <f>+SUM(H27:S27)</f>
        <v>196403.8023307563</v>
      </c>
      <c r="F27" s="154"/>
      <c r="G27" s="154"/>
      <c r="H27" s="155">
        <f t="shared" ref="H27:S27" si="5">+H25*((1+$D$24)^(1/12)-1)</f>
        <v>0</v>
      </c>
      <c r="I27" s="155">
        <f t="shared" si="5"/>
        <v>17079.827282249484</v>
      </c>
      <c r="J27" s="155">
        <f t="shared" si="5"/>
        <v>17241.89422668919</v>
      </c>
      <c r="K27" s="155">
        <f t="shared" si="5"/>
        <v>17405.498990806227</v>
      </c>
      <c r="L27" s="155">
        <f t="shared" si="5"/>
        <v>17570.65616665308</v>
      </c>
      <c r="M27" s="155">
        <f t="shared" si="5"/>
        <v>17737.380484743207</v>
      </c>
      <c r="N27" s="155">
        <f t="shared" si="5"/>
        <v>17905.68681536485</v>
      </c>
      <c r="O27" s="155">
        <f t="shared" si="5"/>
        <v>18075.59016990734</v>
      </c>
      <c r="P27" s="155">
        <f t="shared" si="5"/>
        <v>18183.05634989154</v>
      </c>
      <c r="Q27" s="155">
        <f t="shared" si="5"/>
        <v>18291.54225420508</v>
      </c>
      <c r="R27" s="155">
        <f t="shared" si="5"/>
        <v>18401.057558800974</v>
      </c>
      <c r="S27" s="213">
        <f t="shared" si="5"/>
        <v>18511.612031445344</v>
      </c>
    </row>
    <row r="28" spans="1:173" x14ac:dyDescent="0.3">
      <c r="B28" s="114" t="s">
        <v>61</v>
      </c>
      <c r="C28" s="153"/>
      <c r="D28" s="153"/>
      <c r="E28" s="140">
        <f>+SUM(H28:S28)</f>
        <v>-1996403.8023307563</v>
      </c>
      <c r="F28" s="140"/>
      <c r="G28" s="140"/>
      <c r="H28" s="142">
        <f>MIN(0,MAX(-(H18+H19)*$C$31,-(H25+H27)))</f>
        <v>0</v>
      </c>
      <c r="I28" s="142">
        <f t="shared" ref="I28:S28" si="6">MIN(0,MAX(-(I18+I19)*$C$31,-(I25+I27)))</f>
        <v>0</v>
      </c>
      <c r="J28" s="142">
        <f t="shared" si="6"/>
        <v>0</v>
      </c>
      <c r="K28" s="142">
        <f t="shared" si="6"/>
        <v>0</v>
      </c>
      <c r="L28" s="142">
        <f t="shared" si="6"/>
        <v>0</v>
      </c>
      <c r="M28" s="142">
        <f t="shared" si="6"/>
        <v>0</v>
      </c>
      <c r="N28" s="142">
        <f t="shared" si="6"/>
        <v>0</v>
      </c>
      <c r="O28" s="142">
        <f t="shared" si="6"/>
        <v>-6750</v>
      </c>
      <c r="P28" s="142">
        <f t="shared" si="6"/>
        <v>-6750</v>
      </c>
      <c r="Q28" s="142">
        <f t="shared" si="6"/>
        <v>-6750</v>
      </c>
      <c r="R28" s="142">
        <f t="shared" si="6"/>
        <v>-6750</v>
      </c>
      <c r="S28" s="216">
        <f t="shared" si="6"/>
        <v>-1969403.8023307563</v>
      </c>
    </row>
    <row r="29" spans="1:173" x14ac:dyDescent="0.3">
      <c r="B29" s="114" t="s">
        <v>62</v>
      </c>
      <c r="C29" s="153"/>
      <c r="D29" s="153"/>
      <c r="E29" s="154">
        <f>SUM(E26:E28)</f>
        <v>0</v>
      </c>
      <c r="F29" s="154"/>
      <c r="G29" s="277"/>
      <c r="H29" s="155">
        <f>SUM(H25:H28)</f>
        <v>1800000</v>
      </c>
      <c r="I29" s="155">
        <f>SUM(I25:I28)</f>
        <v>1817079.8272822495</v>
      </c>
      <c r="J29" s="155">
        <f>SUM(J25:J28)</f>
        <v>1834321.7215089386</v>
      </c>
      <c r="K29" s="155">
        <f>SUM(K25:K28)</f>
        <v>1851727.2204997449</v>
      </c>
      <c r="L29" s="155">
        <f>SUM(L25:L28)</f>
        <v>1869297.876666398</v>
      </c>
      <c r="M29" s="155">
        <f t="shared" ref="M29:S29" si="7">SUM(M25:M28)</f>
        <v>1887035.2571511413</v>
      </c>
      <c r="N29" s="155">
        <f t="shared" si="7"/>
        <v>1904940.943966506</v>
      </c>
      <c r="O29" s="155">
        <f t="shared" si="7"/>
        <v>1916266.5341364134</v>
      </c>
      <c r="P29" s="155">
        <f t="shared" si="7"/>
        <v>1927699.5904863048</v>
      </c>
      <c r="Q29" s="155">
        <f t="shared" si="7"/>
        <v>1939241.1327405099</v>
      </c>
      <c r="R29" s="155">
        <f t="shared" si="7"/>
        <v>1950892.190299311</v>
      </c>
      <c r="S29" s="213">
        <f t="shared" si="7"/>
        <v>0</v>
      </c>
    </row>
    <row r="30" spans="1:173" x14ac:dyDescent="0.3">
      <c r="B30" s="114"/>
      <c r="C30" s="153"/>
      <c r="D30" s="153"/>
      <c r="E30" s="157"/>
      <c r="F30" s="157"/>
      <c r="G30" s="157"/>
      <c r="H30" s="155"/>
      <c r="I30" s="155"/>
      <c r="J30" s="155"/>
      <c r="K30" s="155"/>
      <c r="L30" s="155"/>
      <c r="M30" s="155"/>
      <c r="N30" s="155"/>
      <c r="O30" s="155"/>
      <c r="P30" s="155"/>
      <c r="Q30" s="155"/>
      <c r="R30" s="155"/>
      <c r="S30" s="213"/>
    </row>
    <row r="31" spans="1:173" x14ac:dyDescent="0.3">
      <c r="B31" s="115" t="s">
        <v>124</v>
      </c>
      <c r="C31" s="162">
        <f>Q5</f>
        <v>0.9</v>
      </c>
      <c r="D31" s="162"/>
      <c r="E31" s="154">
        <f>+SUM(H31:S31)</f>
        <v>196403.80233075633</v>
      </c>
      <c r="F31" s="154"/>
      <c r="G31" s="154"/>
      <c r="H31" s="159">
        <f>+MIN(-(H26+H28),H25+H27)</f>
        <v>-1800000</v>
      </c>
      <c r="I31" s="159">
        <f>+MIN(-(I26+I28),I25+I27)</f>
        <v>0</v>
      </c>
      <c r="J31" s="159">
        <f>+MIN(-(J26+J28),J25+J27)</f>
        <v>0</v>
      </c>
      <c r="K31" s="159">
        <f>+MIN(-(K26+K28),K25+K27)</f>
        <v>0</v>
      </c>
      <c r="L31" s="159">
        <f>+MIN(-(L26+L28),L25+L27)</f>
        <v>0</v>
      </c>
      <c r="M31" s="159">
        <f t="shared" ref="M31:R31" si="8">+MIN(-(M26+M28),M25+M27)</f>
        <v>0</v>
      </c>
      <c r="N31" s="159">
        <f t="shared" si="8"/>
        <v>0</v>
      </c>
      <c r="O31" s="159">
        <f t="shared" si="8"/>
        <v>6750</v>
      </c>
      <c r="P31" s="159">
        <f t="shared" si="8"/>
        <v>6750</v>
      </c>
      <c r="Q31" s="159">
        <f t="shared" si="8"/>
        <v>6750</v>
      </c>
      <c r="R31" s="159">
        <f t="shared" si="8"/>
        <v>6750</v>
      </c>
      <c r="S31" s="214">
        <f>+MIN(-(S26+S28),S25+S27)</f>
        <v>1969403.8023307563</v>
      </c>
    </row>
    <row r="32" spans="1:173" x14ac:dyDescent="0.3">
      <c r="B32" s="115" t="s">
        <v>125</v>
      </c>
      <c r="C32" s="292">
        <f>N5</f>
        <v>0.1</v>
      </c>
      <c r="D32" s="292"/>
      <c r="E32" s="154">
        <f>+SUM(H32:S32)</f>
        <v>221822.64470341738</v>
      </c>
      <c r="F32" s="161"/>
      <c r="G32" s="161"/>
      <c r="H32" s="159">
        <f>-H28/$C$31*$C$32</f>
        <v>0</v>
      </c>
      <c r="I32" s="159">
        <f>-I28/$C$31*$C$32</f>
        <v>0</v>
      </c>
      <c r="J32" s="159">
        <f>-J28/$C$31*$C$32</f>
        <v>0</v>
      </c>
      <c r="K32" s="159">
        <f>-K28/$C$31*$C$32</f>
        <v>0</v>
      </c>
      <c r="L32" s="159">
        <f>-L28/$C$31*$C$32</f>
        <v>0</v>
      </c>
      <c r="M32" s="159">
        <f t="shared" ref="M32:S32" si="9">-M28/$C$31*$C$32</f>
        <v>0</v>
      </c>
      <c r="N32" s="159">
        <f t="shared" si="9"/>
        <v>0</v>
      </c>
      <c r="O32" s="159">
        <f t="shared" si="9"/>
        <v>750</v>
      </c>
      <c r="P32" s="159">
        <f t="shared" si="9"/>
        <v>750</v>
      </c>
      <c r="Q32" s="159">
        <f t="shared" si="9"/>
        <v>750</v>
      </c>
      <c r="R32" s="159">
        <f t="shared" si="9"/>
        <v>750</v>
      </c>
      <c r="S32" s="214">
        <f t="shared" si="9"/>
        <v>218822.64470341738</v>
      </c>
    </row>
    <row r="33" spans="1:19" x14ac:dyDescent="0.3">
      <c r="B33" s="115" t="s">
        <v>126</v>
      </c>
      <c r="C33" s="292">
        <f>O5</f>
        <v>0</v>
      </c>
      <c r="D33" s="293"/>
      <c r="E33" s="154">
        <f>+SUM(H33:S33)</f>
        <v>0</v>
      </c>
      <c r="F33" s="161"/>
      <c r="G33" s="161"/>
      <c r="H33" s="159">
        <f>-H28/$C$31*$C$33</f>
        <v>0</v>
      </c>
      <c r="I33" s="159">
        <f>-I28/$C$31*$C$33</f>
        <v>0</v>
      </c>
      <c r="J33" s="159">
        <f>-J28/$C$31*$C$33</f>
        <v>0</v>
      </c>
      <c r="K33" s="159">
        <f>-K28/$C$31*$C$33</f>
        <v>0</v>
      </c>
      <c r="L33" s="159">
        <f>-L28/$C$31*$C$33</f>
        <v>0</v>
      </c>
      <c r="M33" s="159">
        <f t="shared" ref="M33:S33" si="10">-M28/$C$31*$C$33</f>
        <v>0</v>
      </c>
      <c r="N33" s="159">
        <f t="shared" si="10"/>
        <v>0</v>
      </c>
      <c r="O33" s="159">
        <f t="shared" si="10"/>
        <v>0</v>
      </c>
      <c r="P33" s="159">
        <f t="shared" si="10"/>
        <v>0</v>
      </c>
      <c r="Q33" s="159">
        <f t="shared" si="10"/>
        <v>0</v>
      </c>
      <c r="R33" s="159">
        <f t="shared" si="10"/>
        <v>0</v>
      </c>
      <c r="S33" s="214">
        <f t="shared" si="10"/>
        <v>0</v>
      </c>
    </row>
    <row r="34" spans="1:19" x14ac:dyDescent="0.3">
      <c r="B34" s="115"/>
      <c r="C34" s="162"/>
      <c r="D34" s="162"/>
      <c r="E34" s="154"/>
      <c r="F34" s="154"/>
      <c r="G34" s="154"/>
      <c r="H34" s="159"/>
      <c r="I34" s="159"/>
      <c r="J34" s="159"/>
      <c r="K34" s="159"/>
      <c r="L34" s="159"/>
      <c r="M34" s="159"/>
      <c r="N34" s="159"/>
      <c r="O34" s="159"/>
      <c r="P34" s="159"/>
      <c r="Q34" s="159"/>
      <c r="R34" s="159"/>
      <c r="S34" s="214"/>
    </row>
    <row r="35" spans="1:19" x14ac:dyDescent="0.3">
      <c r="B35" s="116" t="s">
        <v>64</v>
      </c>
      <c r="C35" s="163"/>
      <c r="D35" s="163"/>
      <c r="E35" s="140">
        <f>SUM(H35:S35)</f>
        <v>10479344.324079745</v>
      </c>
      <c r="F35" s="140"/>
      <c r="G35" s="140"/>
      <c r="H35" s="164">
        <f>IF(H31&lt;0,0,H20-SUM(H31:H33))</f>
        <v>0</v>
      </c>
      <c r="I35" s="164">
        <f t="shared" ref="I35:S35" si="11">IF(I31&lt;0,0,I20-SUM(I31:I33))</f>
        <v>0</v>
      </c>
      <c r="J35" s="164">
        <f t="shared" si="11"/>
        <v>0</v>
      </c>
      <c r="K35" s="164">
        <f t="shared" si="11"/>
        <v>0</v>
      </c>
      <c r="L35" s="164">
        <f t="shared" si="11"/>
        <v>0</v>
      </c>
      <c r="M35" s="164">
        <f t="shared" si="11"/>
        <v>0</v>
      </c>
      <c r="N35" s="164">
        <f t="shared" si="11"/>
        <v>0</v>
      </c>
      <c r="O35" s="164">
        <f t="shared" si="11"/>
        <v>0</v>
      </c>
      <c r="P35" s="164">
        <f t="shared" si="11"/>
        <v>0</v>
      </c>
      <c r="Q35" s="164">
        <f t="shared" si="11"/>
        <v>0</v>
      </c>
      <c r="R35" s="164">
        <f t="shared" si="11"/>
        <v>0</v>
      </c>
      <c r="S35" s="215">
        <f t="shared" si="11"/>
        <v>10479344.324079745</v>
      </c>
    </row>
    <row r="36" spans="1:19" x14ac:dyDescent="0.3">
      <c r="C36" s="135"/>
      <c r="D36" s="135"/>
      <c r="E36" s="138"/>
      <c r="F36" s="138"/>
      <c r="G36" s="138"/>
      <c r="H36" s="118"/>
      <c r="I36" s="118"/>
      <c r="J36" s="118"/>
      <c r="K36" s="118"/>
      <c r="L36" s="118"/>
      <c r="M36" s="118"/>
      <c r="N36" s="118"/>
      <c r="O36" s="118"/>
      <c r="P36" s="118"/>
      <c r="Q36" s="118"/>
      <c r="R36" s="118"/>
      <c r="S36" s="118"/>
    </row>
    <row r="37" spans="1:19" x14ac:dyDescent="0.3">
      <c r="A37" s="359" t="s">
        <v>164</v>
      </c>
      <c r="B37" s="111" t="s">
        <v>65</v>
      </c>
      <c r="C37" s="148" t="s">
        <v>72</v>
      </c>
      <c r="D37" s="146">
        <f>M6</f>
        <v>0.18</v>
      </c>
      <c r="E37" s="149"/>
      <c r="F37" s="149"/>
      <c r="G37" s="149"/>
      <c r="H37" s="118"/>
      <c r="I37" s="118"/>
      <c r="J37" s="118"/>
      <c r="K37" s="118"/>
      <c r="L37" s="118"/>
      <c r="M37" s="118"/>
      <c r="N37" s="118"/>
      <c r="O37" s="118"/>
      <c r="P37" s="118"/>
      <c r="Q37" s="118"/>
      <c r="R37" s="118"/>
      <c r="S37" s="118"/>
    </row>
    <row r="38" spans="1:19" x14ac:dyDescent="0.3">
      <c r="B38" s="113" t="s">
        <v>58</v>
      </c>
      <c r="C38" s="150"/>
      <c r="D38" s="150"/>
      <c r="E38" s="151"/>
      <c r="F38" s="151"/>
      <c r="G38" s="151"/>
      <c r="H38" s="152">
        <f>+G43</f>
        <v>0</v>
      </c>
      <c r="I38" s="152">
        <f>+H43</f>
        <v>1800000</v>
      </c>
      <c r="J38" s="152">
        <f>+I43</f>
        <v>1824999.1746271378</v>
      </c>
      <c r="K38" s="152">
        <f>+J43</f>
        <v>1850345.5485498523</v>
      </c>
      <c r="L38" s="152">
        <f>+K43</f>
        <v>1876043.9438213774</v>
      </c>
      <c r="M38" s="152">
        <f t="shared" ref="M38:S38" si="12">+L43</f>
        <v>1902099.2494656967</v>
      </c>
      <c r="N38" s="152">
        <f t="shared" si="12"/>
        <v>1928516.4224076639</v>
      </c>
      <c r="O38" s="152">
        <f t="shared" si="12"/>
        <v>1955300.4884160375</v>
      </c>
      <c r="P38" s="152">
        <f t="shared" si="12"/>
        <v>1975706.5430596157</v>
      </c>
      <c r="Q38" s="152">
        <f t="shared" si="12"/>
        <v>1996396.0057717969</v>
      </c>
      <c r="R38" s="152">
        <f t="shared" si="12"/>
        <v>2017372.8126458023</v>
      </c>
      <c r="S38" s="212">
        <f t="shared" si="12"/>
        <v>2038640.9544410093</v>
      </c>
    </row>
    <row r="39" spans="1:19" x14ac:dyDescent="0.3">
      <c r="B39" s="114" t="s">
        <v>122</v>
      </c>
      <c r="C39" s="153"/>
      <c r="D39" s="153"/>
      <c r="E39" s="154">
        <f>+SUM(H39:S39)</f>
        <v>1800000</v>
      </c>
      <c r="F39" s="154"/>
      <c r="G39" s="154"/>
      <c r="H39" s="155">
        <f>H26</f>
        <v>1800000</v>
      </c>
      <c r="I39" s="155">
        <f>I26</f>
        <v>0</v>
      </c>
      <c r="J39" s="155">
        <f>J26</f>
        <v>0</v>
      </c>
      <c r="K39" s="155">
        <f>K26</f>
        <v>0</v>
      </c>
      <c r="L39" s="155">
        <f>L26</f>
        <v>0</v>
      </c>
      <c r="M39" s="155">
        <f t="shared" ref="M39:S39" si="13">M26</f>
        <v>0</v>
      </c>
      <c r="N39" s="155">
        <f t="shared" si="13"/>
        <v>0</v>
      </c>
      <c r="O39" s="155">
        <f t="shared" si="13"/>
        <v>0</v>
      </c>
      <c r="P39" s="155">
        <f t="shared" si="13"/>
        <v>0</v>
      </c>
      <c r="Q39" s="155">
        <f t="shared" si="13"/>
        <v>0</v>
      </c>
      <c r="R39" s="155">
        <f t="shared" si="13"/>
        <v>0</v>
      </c>
      <c r="S39" s="213">
        <f t="shared" si="13"/>
        <v>0</v>
      </c>
    </row>
    <row r="40" spans="1:19" x14ac:dyDescent="0.3">
      <c r="B40" s="114" t="s">
        <v>123</v>
      </c>
      <c r="C40" s="153"/>
      <c r="D40" s="153"/>
      <c r="E40" s="154">
        <f>+SUM(H40:S40)</f>
        <v>293954.47734217905</v>
      </c>
      <c r="F40" s="154"/>
      <c r="G40" s="154"/>
      <c r="H40" s="155">
        <f t="shared" ref="H40:S40" si="14">+H38*((1+$D$37)^(1/12)-1)</f>
        <v>0</v>
      </c>
      <c r="I40" s="155">
        <f t="shared" si="14"/>
        <v>24999.174627137854</v>
      </c>
      <c r="J40" s="155">
        <f t="shared" si="14"/>
        <v>25346.373922714596</v>
      </c>
      <c r="K40" s="155">
        <f t="shared" si="14"/>
        <v>25698.395271524969</v>
      </c>
      <c r="L40" s="155">
        <f t="shared" si="14"/>
        <v>26055.305644319451</v>
      </c>
      <c r="M40" s="155">
        <f t="shared" si="14"/>
        <v>26417.172941967114</v>
      </c>
      <c r="N40" s="155">
        <f t="shared" si="14"/>
        <v>26784.066008373524</v>
      </c>
      <c r="O40" s="155">
        <f t="shared" si="14"/>
        <v>27156.054643578034</v>
      </c>
      <c r="P40" s="155">
        <f t="shared" si="14"/>
        <v>27439.462712181215</v>
      </c>
      <c r="Q40" s="155">
        <f t="shared" si="14"/>
        <v>27726.806874005368</v>
      </c>
      <c r="R40" s="155">
        <f t="shared" si="14"/>
        <v>28018.141795207037</v>
      </c>
      <c r="S40" s="213">
        <f t="shared" si="14"/>
        <v>28313.522901169876</v>
      </c>
    </row>
    <row r="41" spans="1:19" x14ac:dyDescent="0.3">
      <c r="B41" s="114" t="s">
        <v>61</v>
      </c>
      <c r="C41" s="153"/>
      <c r="D41" s="153"/>
      <c r="E41" s="154">
        <f>+SUM(H41:S41)</f>
        <v>-1996403.8023307563</v>
      </c>
      <c r="F41" s="154"/>
      <c r="G41" s="154"/>
      <c r="H41" s="155">
        <f>+H$28</f>
        <v>0</v>
      </c>
      <c r="I41" s="155">
        <f>+I$28</f>
        <v>0</v>
      </c>
      <c r="J41" s="155">
        <f>+J$28</f>
        <v>0</v>
      </c>
      <c r="K41" s="155">
        <f>+K$28</f>
        <v>0</v>
      </c>
      <c r="L41" s="155">
        <f>+L$28</f>
        <v>0</v>
      </c>
      <c r="M41" s="155">
        <f t="shared" ref="M41:S41" si="15">+M$28</f>
        <v>0</v>
      </c>
      <c r="N41" s="155">
        <f t="shared" si="15"/>
        <v>0</v>
      </c>
      <c r="O41" s="155">
        <f t="shared" si="15"/>
        <v>-6750</v>
      </c>
      <c r="P41" s="155">
        <f t="shared" si="15"/>
        <v>-6750</v>
      </c>
      <c r="Q41" s="155">
        <f t="shared" si="15"/>
        <v>-6750</v>
      </c>
      <c r="R41" s="155">
        <f t="shared" si="15"/>
        <v>-6750</v>
      </c>
      <c r="S41" s="213">
        <f t="shared" si="15"/>
        <v>-1969403.8023307563</v>
      </c>
    </row>
    <row r="42" spans="1:19" x14ac:dyDescent="0.3">
      <c r="B42" s="114" t="s">
        <v>66</v>
      </c>
      <c r="C42" s="153"/>
      <c r="D42" s="153"/>
      <c r="E42" s="140">
        <f>+SUM(H42:S42)</f>
        <v>-97550.675011422951</v>
      </c>
      <c r="F42" s="140"/>
      <c r="G42" s="140"/>
      <c r="H42" s="142">
        <f t="shared" ref="H42:S42" si="16">MIN(0,MAX(-(H38+H40+H41),-$C$45*H35))</f>
        <v>0</v>
      </c>
      <c r="I42" s="142">
        <f t="shared" si="16"/>
        <v>0</v>
      </c>
      <c r="J42" s="142">
        <f t="shared" si="16"/>
        <v>0</v>
      </c>
      <c r="K42" s="142">
        <f t="shared" si="16"/>
        <v>0</v>
      </c>
      <c r="L42" s="142">
        <f t="shared" si="16"/>
        <v>0</v>
      </c>
      <c r="M42" s="142">
        <f t="shared" si="16"/>
        <v>0</v>
      </c>
      <c r="N42" s="142">
        <f t="shared" si="16"/>
        <v>0</v>
      </c>
      <c r="O42" s="142">
        <f t="shared" si="16"/>
        <v>0</v>
      </c>
      <c r="P42" s="142">
        <f t="shared" si="16"/>
        <v>0</v>
      </c>
      <c r="Q42" s="142">
        <f t="shared" si="16"/>
        <v>0</v>
      </c>
      <c r="R42" s="142">
        <f t="shared" si="16"/>
        <v>0</v>
      </c>
      <c r="S42" s="216">
        <f t="shared" si="16"/>
        <v>-97550.675011422951</v>
      </c>
    </row>
    <row r="43" spans="1:19" x14ac:dyDescent="0.3">
      <c r="B43" s="114" t="s">
        <v>62</v>
      </c>
      <c r="C43" s="153"/>
      <c r="D43" s="153"/>
      <c r="E43" s="154">
        <f>SUM(E39:E42)</f>
        <v>-2.3283064365386963E-10</v>
      </c>
      <c r="F43" s="154"/>
      <c r="G43" s="277"/>
      <c r="H43" s="155">
        <f>SUM(H38:H42)</f>
        <v>1800000</v>
      </c>
      <c r="I43" s="155">
        <f>SUM(I38:I42)</f>
        <v>1824999.1746271378</v>
      </c>
      <c r="J43" s="155">
        <f>SUM(J38:J42)</f>
        <v>1850345.5485498523</v>
      </c>
      <c r="K43" s="155">
        <f>SUM(K38:K42)</f>
        <v>1876043.9438213774</v>
      </c>
      <c r="L43" s="155">
        <f>SUM(L38:L42)</f>
        <v>1902099.2494656967</v>
      </c>
      <c r="M43" s="155">
        <f t="shared" ref="M43:S43" si="17">SUM(M38:M42)</f>
        <v>1928516.4224076639</v>
      </c>
      <c r="N43" s="155">
        <f t="shared" si="17"/>
        <v>1955300.4884160375</v>
      </c>
      <c r="O43" s="155">
        <f t="shared" si="17"/>
        <v>1975706.5430596157</v>
      </c>
      <c r="P43" s="155">
        <f t="shared" si="17"/>
        <v>1996396.0057717969</v>
      </c>
      <c r="Q43" s="155">
        <f t="shared" si="17"/>
        <v>2017372.8126458023</v>
      </c>
      <c r="R43" s="155">
        <f t="shared" si="17"/>
        <v>2038640.9544410093</v>
      </c>
      <c r="S43" s="213">
        <f t="shared" si="17"/>
        <v>0</v>
      </c>
    </row>
    <row r="44" spans="1:19" x14ac:dyDescent="0.3">
      <c r="B44" s="114"/>
      <c r="C44" s="153"/>
      <c r="D44" s="153"/>
      <c r="E44" s="157"/>
      <c r="F44" s="157"/>
      <c r="G44" s="157"/>
      <c r="H44" s="155"/>
      <c r="I44" s="155"/>
      <c r="J44" s="155"/>
      <c r="K44" s="155"/>
      <c r="L44" s="155"/>
      <c r="M44" s="155"/>
      <c r="N44" s="155"/>
      <c r="O44" s="155"/>
      <c r="P44" s="155"/>
      <c r="Q44" s="155"/>
      <c r="R44" s="155"/>
      <c r="S44" s="213"/>
    </row>
    <row r="45" spans="1:19" x14ac:dyDescent="0.3">
      <c r="B45" s="115" t="s">
        <v>124</v>
      </c>
      <c r="C45" s="162">
        <f>Q6</f>
        <v>0.8</v>
      </c>
      <c r="D45" s="162"/>
      <c r="E45" s="154">
        <f>+SUM(H45:S45)</f>
        <v>97550.675011422951</v>
      </c>
      <c r="F45" s="154"/>
      <c r="G45" s="154"/>
      <c r="H45" s="159">
        <f>MAX(0,MIN(-(H39+H42),H38+H40))</f>
        <v>0</v>
      </c>
      <c r="I45" s="159">
        <f>MAX(0,MIN(-(I39+I42),I38+I40))</f>
        <v>0</v>
      </c>
      <c r="J45" s="159">
        <f>MAX(0,MIN(-(J39+J42),J38+J40))</f>
        <v>0</v>
      </c>
      <c r="K45" s="159">
        <f>MAX(0,MIN(-(K39+K42),K38+K40))</f>
        <v>0</v>
      </c>
      <c r="L45" s="159">
        <f>MAX(0,MIN(-(L39+L42),L38+L40))</f>
        <v>0</v>
      </c>
      <c r="M45" s="159">
        <f t="shared" ref="M45:S45" si="18">MAX(0,MIN(-(M39+M42),M38+M40))</f>
        <v>0</v>
      </c>
      <c r="N45" s="159">
        <f t="shared" si="18"/>
        <v>0</v>
      </c>
      <c r="O45" s="159">
        <f t="shared" si="18"/>
        <v>0</v>
      </c>
      <c r="P45" s="159">
        <f t="shared" si="18"/>
        <v>0</v>
      </c>
      <c r="Q45" s="159">
        <f t="shared" si="18"/>
        <v>0</v>
      </c>
      <c r="R45" s="159">
        <f t="shared" si="18"/>
        <v>0</v>
      </c>
      <c r="S45" s="214">
        <f t="shared" si="18"/>
        <v>97550.675011422951</v>
      </c>
    </row>
    <row r="46" spans="1:19" x14ac:dyDescent="0.3">
      <c r="B46" s="115" t="s">
        <v>125</v>
      </c>
      <c r="C46" s="162">
        <f>N6</f>
        <v>0.1</v>
      </c>
      <c r="D46" s="162"/>
      <c r="E46" s="154">
        <f>+SUM(H46:S46)</f>
        <v>12193.834376427869</v>
      </c>
      <c r="F46" s="154"/>
      <c r="G46" s="154"/>
      <c r="H46" s="159">
        <f>-H42/$C$45*$C$46</f>
        <v>0</v>
      </c>
      <c r="I46" s="159">
        <f>-I42/$C$45*$C$46</f>
        <v>0</v>
      </c>
      <c r="J46" s="159">
        <f>-J42/$C$45*$C$46</f>
        <v>0</v>
      </c>
      <c r="K46" s="159">
        <f>-K42/$C$45*$C$46</f>
        <v>0</v>
      </c>
      <c r="L46" s="159">
        <f>-L42/$C$45*$C$46</f>
        <v>0</v>
      </c>
      <c r="M46" s="159">
        <f t="shared" ref="M46:S46" si="19">-M42/$C$45*$C$46</f>
        <v>0</v>
      </c>
      <c r="N46" s="159">
        <f t="shared" si="19"/>
        <v>0</v>
      </c>
      <c r="O46" s="159">
        <f t="shared" si="19"/>
        <v>0</v>
      </c>
      <c r="P46" s="159">
        <f t="shared" si="19"/>
        <v>0</v>
      </c>
      <c r="Q46" s="159">
        <f t="shared" si="19"/>
        <v>0</v>
      </c>
      <c r="R46" s="159">
        <f t="shared" si="19"/>
        <v>0</v>
      </c>
      <c r="S46" s="214">
        <f t="shared" si="19"/>
        <v>12193.834376427869</v>
      </c>
    </row>
    <row r="47" spans="1:19" x14ac:dyDescent="0.3">
      <c r="B47" s="115" t="s">
        <v>126</v>
      </c>
      <c r="C47" s="162">
        <f>O6</f>
        <v>0.1</v>
      </c>
      <c r="D47" s="293"/>
      <c r="E47" s="154">
        <f>+SUM(H47:S47)</f>
        <v>12193.834376427869</v>
      </c>
      <c r="F47" s="161"/>
      <c r="G47" s="161"/>
      <c r="H47" s="159">
        <f>-H42/$C$45*$C$47</f>
        <v>0</v>
      </c>
      <c r="I47" s="159">
        <f>-I42/$C$45*$C$47</f>
        <v>0</v>
      </c>
      <c r="J47" s="159">
        <f>-J42/$C$45*$C$47</f>
        <v>0</v>
      </c>
      <c r="K47" s="159">
        <f>-K42/$C$45*$C$47</f>
        <v>0</v>
      </c>
      <c r="L47" s="159">
        <f>-L42/$C$45*$C$47</f>
        <v>0</v>
      </c>
      <c r="M47" s="159">
        <f t="shared" ref="M47:S47" si="20">-M42/$C$45*$C$47</f>
        <v>0</v>
      </c>
      <c r="N47" s="159">
        <f t="shared" si="20"/>
        <v>0</v>
      </c>
      <c r="O47" s="159">
        <f t="shared" si="20"/>
        <v>0</v>
      </c>
      <c r="P47" s="159">
        <f t="shared" si="20"/>
        <v>0</v>
      </c>
      <c r="Q47" s="159">
        <f t="shared" si="20"/>
        <v>0</v>
      </c>
      <c r="R47" s="159">
        <f t="shared" si="20"/>
        <v>0</v>
      </c>
      <c r="S47" s="214">
        <f t="shared" si="20"/>
        <v>12193.834376427869</v>
      </c>
    </row>
    <row r="48" spans="1:19" x14ac:dyDescent="0.3">
      <c r="B48" s="115"/>
      <c r="C48" s="162"/>
      <c r="D48" s="162"/>
      <c r="E48" s="157"/>
      <c r="F48" s="154"/>
      <c r="G48" s="154"/>
      <c r="H48" s="159"/>
      <c r="I48" s="159"/>
      <c r="J48" s="159"/>
      <c r="K48" s="159"/>
      <c r="L48" s="159"/>
      <c r="M48" s="159"/>
      <c r="N48" s="159"/>
      <c r="O48" s="159"/>
      <c r="P48" s="159"/>
      <c r="Q48" s="159"/>
      <c r="R48" s="159"/>
      <c r="S48" s="214"/>
    </row>
    <row r="49" spans="1:19" x14ac:dyDescent="0.3">
      <c r="B49" s="116" t="s">
        <v>64</v>
      </c>
      <c r="C49" s="163"/>
      <c r="D49" s="163"/>
      <c r="E49" s="140">
        <f>SUM(H49:S49)</f>
        <v>10357405.980315465</v>
      </c>
      <c r="F49" s="140"/>
      <c r="G49" s="140"/>
      <c r="H49" s="164">
        <f t="shared" ref="H49:S49" si="21">+H35-SUM(H45:H47)</f>
        <v>0</v>
      </c>
      <c r="I49" s="164">
        <f t="shared" si="21"/>
        <v>0</v>
      </c>
      <c r="J49" s="164">
        <f t="shared" si="21"/>
        <v>0</v>
      </c>
      <c r="K49" s="164">
        <f t="shared" si="21"/>
        <v>0</v>
      </c>
      <c r="L49" s="164">
        <f t="shared" si="21"/>
        <v>0</v>
      </c>
      <c r="M49" s="164">
        <f t="shared" si="21"/>
        <v>0</v>
      </c>
      <c r="N49" s="164">
        <f t="shared" si="21"/>
        <v>0</v>
      </c>
      <c r="O49" s="164">
        <f t="shared" si="21"/>
        <v>0</v>
      </c>
      <c r="P49" s="164">
        <f t="shared" si="21"/>
        <v>0</v>
      </c>
      <c r="Q49" s="164">
        <f t="shared" si="21"/>
        <v>0</v>
      </c>
      <c r="R49" s="164">
        <f t="shared" si="21"/>
        <v>0</v>
      </c>
      <c r="S49" s="215">
        <f t="shared" si="21"/>
        <v>10357405.980315465</v>
      </c>
    </row>
    <row r="50" spans="1:19" x14ac:dyDescent="0.3">
      <c r="C50" s="165"/>
      <c r="D50" s="165"/>
      <c r="E50" s="149"/>
      <c r="F50" s="149"/>
      <c r="G50" s="149"/>
      <c r="H50" s="118"/>
      <c r="I50" s="118"/>
      <c r="J50" s="118"/>
      <c r="K50" s="118"/>
      <c r="L50" s="118"/>
      <c r="M50" s="118"/>
      <c r="N50" s="118"/>
      <c r="O50" s="118"/>
      <c r="P50" s="118"/>
      <c r="Q50" s="118"/>
      <c r="R50" s="118"/>
      <c r="S50" s="118"/>
    </row>
    <row r="51" spans="1:19" x14ac:dyDescent="0.3">
      <c r="A51" s="359" t="s">
        <v>164</v>
      </c>
      <c r="B51" s="111" t="s">
        <v>79</v>
      </c>
      <c r="C51" s="148" t="s">
        <v>72</v>
      </c>
      <c r="D51" s="146">
        <f>M7</f>
        <v>0.2</v>
      </c>
      <c r="E51" s="149"/>
      <c r="F51" s="149"/>
      <c r="G51" s="149"/>
      <c r="H51" s="118"/>
      <c r="I51" s="118"/>
      <c r="J51" s="118"/>
      <c r="K51" s="118"/>
      <c r="L51" s="118"/>
      <c r="M51" s="118"/>
      <c r="N51" s="118"/>
      <c r="O51" s="118"/>
      <c r="P51" s="118"/>
      <c r="Q51" s="118"/>
      <c r="R51" s="118"/>
      <c r="S51" s="118"/>
    </row>
    <row r="52" spans="1:19" x14ac:dyDescent="0.3">
      <c r="B52" s="113" t="s">
        <v>58</v>
      </c>
      <c r="C52" s="150"/>
      <c r="D52" s="150"/>
      <c r="E52" s="151"/>
      <c r="F52" s="151"/>
      <c r="G52" s="151"/>
      <c r="H52" s="152">
        <f>+G58</f>
        <v>0</v>
      </c>
      <c r="I52" s="152">
        <f>+H58</f>
        <v>1800000</v>
      </c>
      <c r="J52" s="152">
        <f>+I58</f>
        <v>1827557.0468995161</v>
      </c>
      <c r="K52" s="152">
        <f>+J58</f>
        <v>1855535.9775956001</v>
      </c>
      <c r="L52" s="152">
        <f>+K58</f>
        <v>1883943.2509057899</v>
      </c>
      <c r="M52" s="152">
        <f t="shared" ref="M52:S52" si="22">+L58</f>
        <v>1912785.4245286998</v>
      </c>
      <c r="N52" s="152">
        <f t="shared" si="22"/>
        <v>1942069.1565578377</v>
      </c>
      <c r="O52" s="152">
        <f t="shared" si="22"/>
        <v>1971801.2070185977</v>
      </c>
      <c r="P52" s="152">
        <f t="shared" si="22"/>
        <v>1995238.4394287833</v>
      </c>
      <c r="Q52" s="152">
        <f t="shared" si="22"/>
        <v>2019034.4834571478</v>
      </c>
      <c r="R52" s="152">
        <f t="shared" si="22"/>
        <v>2043194.8323195751</v>
      </c>
      <c r="S52" s="212">
        <f t="shared" si="22"/>
        <v>2067725.0633301749</v>
      </c>
    </row>
    <row r="53" spans="1:19" x14ac:dyDescent="0.3">
      <c r="B53" s="114" t="s">
        <v>122</v>
      </c>
      <c r="C53" s="153"/>
      <c r="D53" s="153"/>
      <c r="E53" s="154">
        <f>+SUM(H53:S53)</f>
        <v>1800000</v>
      </c>
      <c r="F53" s="154"/>
      <c r="G53" s="154"/>
      <c r="H53" s="155">
        <f>+H26</f>
        <v>1800000</v>
      </c>
      <c r="I53" s="155">
        <f>+I26</f>
        <v>0</v>
      </c>
      <c r="J53" s="155">
        <f>+J26</f>
        <v>0</v>
      </c>
      <c r="K53" s="155">
        <f>+K26</f>
        <v>0</v>
      </c>
      <c r="L53" s="155">
        <f>+L26</f>
        <v>0</v>
      </c>
      <c r="M53" s="155">
        <f t="shared" ref="M53:S53" si="23">+M26</f>
        <v>0</v>
      </c>
      <c r="N53" s="155">
        <f t="shared" si="23"/>
        <v>0</v>
      </c>
      <c r="O53" s="155">
        <f t="shared" si="23"/>
        <v>0</v>
      </c>
      <c r="P53" s="155">
        <f t="shared" si="23"/>
        <v>0</v>
      </c>
      <c r="Q53" s="155">
        <f t="shared" si="23"/>
        <v>0</v>
      </c>
      <c r="R53" s="155">
        <f t="shared" si="23"/>
        <v>0</v>
      </c>
      <c r="S53" s="213">
        <f t="shared" si="23"/>
        <v>0</v>
      </c>
    </row>
    <row r="54" spans="1:19" x14ac:dyDescent="0.3">
      <c r="B54" s="114" t="s">
        <v>123</v>
      </c>
      <c r="C54" s="153"/>
      <c r="D54" s="153"/>
      <c r="E54" s="155">
        <f>+SUM(H54:S54)</f>
        <v>326380.83918878308</v>
      </c>
      <c r="F54" s="155"/>
      <c r="G54" s="155"/>
      <c r="H54" s="155">
        <f t="shared" ref="H54:S54" si="24">+H52*((1+$D$51)^(1/12)-1)</f>
        <v>0</v>
      </c>
      <c r="I54" s="155">
        <f t="shared" si="24"/>
        <v>27557.046899516146</v>
      </c>
      <c r="J54" s="155">
        <f t="shared" si="24"/>
        <v>27978.930696083997</v>
      </c>
      <c r="K54" s="155">
        <f t="shared" si="24"/>
        <v>28407.273310189717</v>
      </c>
      <c r="L54" s="155">
        <f t="shared" si="24"/>
        <v>28842.173622909871</v>
      </c>
      <c r="M54" s="155">
        <f t="shared" si="24"/>
        <v>29283.732029137936</v>
      </c>
      <c r="N54" s="155">
        <f t="shared" si="24"/>
        <v>29732.050460760056</v>
      </c>
      <c r="O54" s="155">
        <f t="shared" si="24"/>
        <v>30187.232410185581</v>
      </c>
      <c r="P54" s="155">
        <f t="shared" si="24"/>
        <v>30546.04402836466</v>
      </c>
      <c r="Q54" s="155">
        <f t="shared" si="24"/>
        <v>30910.34886242721</v>
      </c>
      <c r="R54" s="155">
        <f t="shared" si="24"/>
        <v>31280.231010599757</v>
      </c>
      <c r="S54" s="213">
        <f t="shared" si="24"/>
        <v>31655.775858608125</v>
      </c>
    </row>
    <row r="55" spans="1:19" x14ac:dyDescent="0.3">
      <c r="B55" s="114" t="s">
        <v>61</v>
      </c>
      <c r="C55" s="153"/>
      <c r="D55" s="153"/>
      <c r="E55" s="154">
        <f>+SUM(H55:S55)</f>
        <v>-1996403.8023307563</v>
      </c>
      <c r="F55" s="154"/>
      <c r="G55" s="154"/>
      <c r="H55" s="155">
        <f>+H$28</f>
        <v>0</v>
      </c>
      <c r="I55" s="155">
        <f>+I$28</f>
        <v>0</v>
      </c>
      <c r="J55" s="155">
        <f>+J$28</f>
        <v>0</v>
      </c>
      <c r="K55" s="155">
        <f>+K$28</f>
        <v>0</v>
      </c>
      <c r="L55" s="155">
        <f>+L$28</f>
        <v>0</v>
      </c>
      <c r="M55" s="155">
        <f t="shared" ref="M55:S55" si="25">+M$28</f>
        <v>0</v>
      </c>
      <c r="N55" s="155">
        <f t="shared" si="25"/>
        <v>0</v>
      </c>
      <c r="O55" s="155">
        <f t="shared" si="25"/>
        <v>-6750</v>
      </c>
      <c r="P55" s="155">
        <f t="shared" si="25"/>
        <v>-6750</v>
      </c>
      <c r="Q55" s="155">
        <f t="shared" si="25"/>
        <v>-6750</v>
      </c>
      <c r="R55" s="155">
        <f t="shared" si="25"/>
        <v>-6750</v>
      </c>
      <c r="S55" s="213">
        <f t="shared" si="25"/>
        <v>-1969403.8023307563</v>
      </c>
    </row>
    <row r="56" spans="1:19" x14ac:dyDescent="0.3">
      <c r="B56" s="114" t="s">
        <v>66</v>
      </c>
      <c r="C56" s="153"/>
      <c r="D56" s="153"/>
      <c r="E56" s="154">
        <f>+SUM(H56:S56)</f>
        <v>-97550.675011422951</v>
      </c>
      <c r="F56" s="154"/>
      <c r="G56" s="154"/>
      <c r="H56" s="155">
        <f>+H$42</f>
        <v>0</v>
      </c>
      <c r="I56" s="155">
        <f>+I$42</f>
        <v>0</v>
      </c>
      <c r="J56" s="155">
        <f>+J$42</f>
        <v>0</v>
      </c>
      <c r="K56" s="155">
        <f>+K$42</f>
        <v>0</v>
      </c>
      <c r="L56" s="155">
        <f>+L$42</f>
        <v>0</v>
      </c>
      <c r="M56" s="155">
        <f t="shared" ref="M56:S56" si="26">+M$42</f>
        <v>0</v>
      </c>
      <c r="N56" s="155">
        <f t="shared" si="26"/>
        <v>0</v>
      </c>
      <c r="O56" s="155">
        <f t="shared" si="26"/>
        <v>0</v>
      </c>
      <c r="P56" s="155">
        <f t="shared" si="26"/>
        <v>0</v>
      </c>
      <c r="Q56" s="155">
        <f t="shared" si="26"/>
        <v>0</v>
      </c>
      <c r="R56" s="155">
        <f t="shared" si="26"/>
        <v>0</v>
      </c>
      <c r="S56" s="213">
        <f t="shared" si="26"/>
        <v>-97550.675011422951</v>
      </c>
    </row>
    <row r="57" spans="1:19" x14ac:dyDescent="0.3">
      <c r="B57" s="114" t="s">
        <v>117</v>
      </c>
      <c r="C57" s="153"/>
      <c r="D57" s="153"/>
      <c r="E57" s="140">
        <f>+SUM(H57:S57)</f>
        <v>-32426.361846603686</v>
      </c>
      <c r="F57" s="140"/>
      <c r="G57" s="140"/>
      <c r="H57" s="142">
        <f t="shared" ref="H57:S57" si="27">MIN(0,MAX(-(H52+H54+H55+H56),-$C$60*H49))</f>
        <v>0</v>
      </c>
      <c r="I57" s="142">
        <f t="shared" si="27"/>
        <v>0</v>
      </c>
      <c r="J57" s="142">
        <f t="shared" si="27"/>
        <v>0</v>
      </c>
      <c r="K57" s="142">
        <f t="shared" si="27"/>
        <v>0</v>
      </c>
      <c r="L57" s="142">
        <f t="shared" si="27"/>
        <v>0</v>
      </c>
      <c r="M57" s="142">
        <f t="shared" si="27"/>
        <v>0</v>
      </c>
      <c r="N57" s="142">
        <f t="shared" si="27"/>
        <v>0</v>
      </c>
      <c r="O57" s="142">
        <f t="shared" si="27"/>
        <v>0</v>
      </c>
      <c r="P57" s="142">
        <f t="shared" si="27"/>
        <v>0</v>
      </c>
      <c r="Q57" s="142">
        <f t="shared" si="27"/>
        <v>0</v>
      </c>
      <c r="R57" s="142">
        <f t="shared" si="27"/>
        <v>0</v>
      </c>
      <c r="S57" s="216">
        <f t="shared" si="27"/>
        <v>-32426.361846603686</v>
      </c>
    </row>
    <row r="58" spans="1:19" x14ac:dyDescent="0.3">
      <c r="B58" s="114" t="s">
        <v>62</v>
      </c>
      <c r="C58" s="153"/>
      <c r="D58" s="153"/>
      <c r="E58" s="154">
        <f>SUM(E53:E57)</f>
        <v>0</v>
      </c>
      <c r="F58" s="154"/>
      <c r="G58" s="277"/>
      <c r="H58" s="155">
        <f>SUM(H52:H57)</f>
        <v>1800000</v>
      </c>
      <c r="I58" s="155">
        <f>SUM(I52:I57)</f>
        <v>1827557.0468995161</v>
      </c>
      <c r="J58" s="155">
        <f>SUM(J52:J57)</f>
        <v>1855535.9775956001</v>
      </c>
      <c r="K58" s="155">
        <f>SUM(K52:K57)</f>
        <v>1883943.2509057899</v>
      </c>
      <c r="L58" s="155">
        <f>SUM(L52:L57)</f>
        <v>1912785.4245286998</v>
      </c>
      <c r="M58" s="155">
        <f t="shared" ref="M58:S58" si="28">SUM(M52:M57)</f>
        <v>1942069.1565578377</v>
      </c>
      <c r="N58" s="155">
        <f t="shared" si="28"/>
        <v>1971801.2070185977</v>
      </c>
      <c r="O58" s="155">
        <f t="shared" si="28"/>
        <v>1995238.4394287833</v>
      </c>
      <c r="P58" s="155">
        <f t="shared" si="28"/>
        <v>2019034.4834571478</v>
      </c>
      <c r="Q58" s="155">
        <f t="shared" si="28"/>
        <v>2043194.8323195751</v>
      </c>
      <c r="R58" s="155">
        <f t="shared" si="28"/>
        <v>2067725.0633301749</v>
      </c>
      <c r="S58" s="213">
        <f t="shared" si="28"/>
        <v>0</v>
      </c>
    </row>
    <row r="59" spans="1:19" x14ac:dyDescent="0.3">
      <c r="B59" s="114"/>
      <c r="C59" s="153"/>
      <c r="D59" s="153"/>
      <c r="E59" s="157"/>
      <c r="F59" s="157"/>
      <c r="G59" s="157"/>
      <c r="H59" s="155"/>
      <c r="I59" s="155"/>
      <c r="J59" s="155"/>
      <c r="K59" s="155"/>
      <c r="L59" s="155"/>
      <c r="M59" s="155"/>
      <c r="N59" s="155"/>
      <c r="O59" s="155"/>
      <c r="P59" s="155"/>
      <c r="Q59" s="155"/>
      <c r="R59" s="155"/>
      <c r="S59" s="213"/>
    </row>
    <row r="60" spans="1:19" x14ac:dyDescent="0.3">
      <c r="B60" s="115" t="s">
        <v>124</v>
      </c>
      <c r="C60" s="162">
        <f>Q7</f>
        <v>0.65</v>
      </c>
      <c r="D60" s="162"/>
      <c r="E60" s="154">
        <f>+SUM(H60:S60)</f>
        <v>32426.361846603686</v>
      </c>
      <c r="F60" s="154"/>
      <c r="G60" s="154"/>
      <c r="H60" s="159">
        <f>MAX(0,MIN(-(H53+H57),H52+H54))</f>
        <v>0</v>
      </c>
      <c r="I60" s="159">
        <f>MAX(0,MIN(-(I53+I57),I52+I54))</f>
        <v>0</v>
      </c>
      <c r="J60" s="159">
        <f>MAX(0,MIN(-(J53+J57),J52+J54))</f>
        <v>0</v>
      </c>
      <c r="K60" s="159">
        <f>MAX(0,MIN(-(K53+K57),K52+K54))</f>
        <v>0</v>
      </c>
      <c r="L60" s="159">
        <f>MAX(0,MIN(-(L53+L57),L52+L54))</f>
        <v>0</v>
      </c>
      <c r="M60" s="159">
        <f t="shared" ref="M60:S60" si="29">MAX(0,MIN(-(M53+M57),M52+M54))</f>
        <v>0</v>
      </c>
      <c r="N60" s="159">
        <f t="shared" si="29"/>
        <v>0</v>
      </c>
      <c r="O60" s="159">
        <f t="shared" si="29"/>
        <v>0</v>
      </c>
      <c r="P60" s="159">
        <f t="shared" si="29"/>
        <v>0</v>
      </c>
      <c r="Q60" s="159">
        <f t="shared" si="29"/>
        <v>0</v>
      </c>
      <c r="R60" s="159">
        <f t="shared" si="29"/>
        <v>0</v>
      </c>
      <c r="S60" s="214">
        <f t="shared" si="29"/>
        <v>32426.361846603686</v>
      </c>
    </row>
    <row r="61" spans="1:19" x14ac:dyDescent="0.3">
      <c r="B61" s="115" t="s">
        <v>125</v>
      </c>
      <c r="C61" s="162">
        <f>N7</f>
        <v>0.1</v>
      </c>
      <c r="D61" s="162"/>
      <c r="E61" s="154">
        <f>+SUM(H61:S61)</f>
        <v>4988.6710533236437</v>
      </c>
      <c r="F61" s="154"/>
      <c r="G61" s="154"/>
      <c r="H61" s="159">
        <f>-H57/$C$60*$C$61</f>
        <v>0</v>
      </c>
      <c r="I61" s="159">
        <f>-I57/$C$60*$C$61</f>
        <v>0</v>
      </c>
      <c r="J61" s="159">
        <f>-J57/$C$60*$C$61</f>
        <v>0</v>
      </c>
      <c r="K61" s="159">
        <f>-K57/$C$60*$C$61</f>
        <v>0</v>
      </c>
      <c r="L61" s="159">
        <f>-L57/$C$60*$C$61</f>
        <v>0</v>
      </c>
      <c r="M61" s="159">
        <f t="shared" ref="M61:S61" si="30">-M57/$C$60*$C$61</f>
        <v>0</v>
      </c>
      <c r="N61" s="159">
        <f t="shared" si="30"/>
        <v>0</v>
      </c>
      <c r="O61" s="159">
        <f t="shared" si="30"/>
        <v>0</v>
      </c>
      <c r="P61" s="159">
        <f t="shared" si="30"/>
        <v>0</v>
      </c>
      <c r="Q61" s="159">
        <f t="shared" si="30"/>
        <v>0</v>
      </c>
      <c r="R61" s="159">
        <f t="shared" si="30"/>
        <v>0</v>
      </c>
      <c r="S61" s="214">
        <f t="shared" si="30"/>
        <v>4988.6710533236437</v>
      </c>
    </row>
    <row r="62" spans="1:19" x14ac:dyDescent="0.3">
      <c r="B62" s="115" t="s">
        <v>126</v>
      </c>
      <c r="C62" s="162">
        <f>O7</f>
        <v>0.25</v>
      </c>
      <c r="D62" s="293"/>
      <c r="E62" s="154">
        <f>+SUM(H62:S62)</f>
        <v>12471.677633309109</v>
      </c>
      <c r="F62" s="161"/>
      <c r="G62" s="161"/>
      <c r="H62" s="159">
        <f>-H57/$C$60*$C$62</f>
        <v>0</v>
      </c>
      <c r="I62" s="159">
        <f>-I57/$C$60*$C$62</f>
        <v>0</v>
      </c>
      <c r="J62" s="159">
        <f>-J57/$C$60*$C$62</f>
        <v>0</v>
      </c>
      <c r="K62" s="159">
        <f>-K57/$C$60*$C$62</f>
        <v>0</v>
      </c>
      <c r="L62" s="159">
        <f>-L57/$C$60*$C$62</f>
        <v>0</v>
      </c>
      <c r="M62" s="159">
        <f t="shared" ref="M62:S62" si="31">-M57/$C$60*$C$62</f>
        <v>0</v>
      </c>
      <c r="N62" s="159">
        <f t="shared" si="31"/>
        <v>0</v>
      </c>
      <c r="O62" s="159">
        <f t="shared" si="31"/>
        <v>0</v>
      </c>
      <c r="P62" s="159">
        <f t="shared" si="31"/>
        <v>0</v>
      </c>
      <c r="Q62" s="159">
        <f t="shared" si="31"/>
        <v>0</v>
      </c>
      <c r="R62" s="159">
        <f t="shared" si="31"/>
        <v>0</v>
      </c>
      <c r="S62" s="214">
        <f t="shared" si="31"/>
        <v>12471.677633309109</v>
      </c>
    </row>
    <row r="63" spans="1:19" x14ac:dyDescent="0.3">
      <c r="B63" s="115"/>
      <c r="C63" s="162"/>
      <c r="D63" s="162"/>
      <c r="E63" s="157"/>
      <c r="F63" s="154"/>
      <c r="G63" s="154"/>
      <c r="H63" s="159"/>
      <c r="I63" s="159"/>
      <c r="J63" s="159"/>
      <c r="K63" s="159"/>
      <c r="L63" s="159"/>
      <c r="M63" s="159"/>
      <c r="N63" s="159"/>
      <c r="O63" s="159"/>
      <c r="P63" s="159"/>
      <c r="Q63" s="159"/>
      <c r="R63" s="159"/>
      <c r="S63" s="214"/>
    </row>
    <row r="64" spans="1:19" x14ac:dyDescent="0.3">
      <c r="B64" s="116" t="s">
        <v>64</v>
      </c>
      <c r="C64" s="163"/>
      <c r="D64" s="163"/>
      <c r="E64" s="140">
        <f>SUM(H64:S64)</f>
        <v>10307519.269782228</v>
      </c>
      <c r="F64" s="140"/>
      <c r="G64" s="140"/>
      <c r="H64" s="164">
        <f t="shared" ref="H64:S64" si="32">+H49-SUM(H60:H62)</f>
        <v>0</v>
      </c>
      <c r="I64" s="164">
        <f t="shared" si="32"/>
        <v>0</v>
      </c>
      <c r="J64" s="164">
        <f t="shared" si="32"/>
        <v>0</v>
      </c>
      <c r="K64" s="164">
        <f t="shared" si="32"/>
        <v>0</v>
      </c>
      <c r="L64" s="164">
        <f t="shared" si="32"/>
        <v>0</v>
      </c>
      <c r="M64" s="164">
        <f t="shared" si="32"/>
        <v>0</v>
      </c>
      <c r="N64" s="164">
        <f t="shared" si="32"/>
        <v>0</v>
      </c>
      <c r="O64" s="164">
        <f t="shared" si="32"/>
        <v>0</v>
      </c>
      <c r="P64" s="164">
        <f t="shared" si="32"/>
        <v>0</v>
      </c>
      <c r="Q64" s="164">
        <f t="shared" si="32"/>
        <v>0</v>
      </c>
      <c r="R64" s="164">
        <f t="shared" si="32"/>
        <v>0</v>
      </c>
      <c r="S64" s="215">
        <f t="shared" si="32"/>
        <v>10307519.269782228</v>
      </c>
    </row>
    <row r="65" spans="1:19" x14ac:dyDescent="0.3">
      <c r="C65" s="135"/>
      <c r="D65" s="135"/>
      <c r="E65" s="138"/>
      <c r="F65" s="138"/>
      <c r="G65" s="138"/>
      <c r="H65" s="118"/>
      <c r="I65" s="118"/>
      <c r="J65" s="118"/>
      <c r="K65" s="118"/>
      <c r="L65" s="118"/>
      <c r="M65" s="118"/>
      <c r="N65" s="118"/>
      <c r="O65" s="118"/>
      <c r="P65" s="118"/>
      <c r="Q65" s="118"/>
      <c r="R65" s="118"/>
      <c r="S65" s="118"/>
    </row>
    <row r="66" spans="1:19" x14ac:dyDescent="0.3">
      <c r="A66" s="359" t="s">
        <v>164</v>
      </c>
      <c r="B66" s="111" t="s">
        <v>113</v>
      </c>
      <c r="C66" s="148" t="s">
        <v>72</v>
      </c>
      <c r="D66" s="146">
        <f>M8</f>
        <v>0.22</v>
      </c>
      <c r="E66" s="278"/>
      <c r="F66" s="278"/>
      <c r="G66" s="278"/>
      <c r="H66" s="118"/>
      <c r="I66" s="118"/>
      <c r="J66" s="118"/>
      <c r="K66" s="118"/>
      <c r="L66" s="118"/>
      <c r="M66" s="118"/>
      <c r="N66" s="118"/>
      <c r="O66" s="118"/>
      <c r="P66" s="118"/>
      <c r="Q66" s="118"/>
      <c r="R66" s="118"/>
      <c r="S66" s="118"/>
    </row>
    <row r="67" spans="1:19" x14ac:dyDescent="0.3">
      <c r="B67" s="113" t="s">
        <v>58</v>
      </c>
      <c r="C67" s="150"/>
      <c r="D67" s="150"/>
      <c r="E67" s="151"/>
      <c r="F67" s="151"/>
      <c r="G67" s="151"/>
      <c r="H67" s="152">
        <f>+G74</f>
        <v>0</v>
      </c>
      <c r="I67" s="152">
        <f>+H74</f>
        <v>1800000</v>
      </c>
      <c r="J67" s="152">
        <f>+I74</f>
        <v>1830076.1349716308</v>
      </c>
      <c r="K67" s="152">
        <f>+J74</f>
        <v>1860654.8109959457</v>
      </c>
      <c r="L67" s="152">
        <f>+K74</f>
        <v>1891744.425013239</v>
      </c>
      <c r="M67" s="152">
        <f t="shared" ref="M67:S67" si="33">+L74</f>
        <v>1923353.5142679769</v>
      </c>
      <c r="N67" s="152">
        <f t="shared" si="33"/>
        <v>1955490.7586531346</v>
      </c>
      <c r="O67" s="152">
        <f t="shared" si="33"/>
        <v>1988164.9830937057</v>
      </c>
      <c r="P67" s="152">
        <f t="shared" si="33"/>
        <v>2014635.1599700369</v>
      </c>
      <c r="Q67" s="152">
        <f t="shared" si="33"/>
        <v>2041547.6260755099</v>
      </c>
      <c r="R67" s="152">
        <f t="shared" si="33"/>
        <v>2068909.7716048763</v>
      </c>
      <c r="S67" s="212">
        <f t="shared" si="33"/>
        <v>2096729.1102353837</v>
      </c>
    </row>
    <row r="68" spans="1:19" x14ac:dyDescent="0.3">
      <c r="B68" s="114" t="s">
        <v>122</v>
      </c>
      <c r="C68" s="153"/>
      <c r="D68" s="153"/>
      <c r="E68" s="154">
        <f t="shared" ref="E68:E73" si="34">+SUM(H68:S68)</f>
        <v>1800000</v>
      </c>
      <c r="F68" s="154"/>
      <c r="G68" s="154"/>
      <c r="H68" s="155">
        <f>+H26</f>
        <v>1800000</v>
      </c>
      <c r="I68" s="155">
        <f>+I26</f>
        <v>0</v>
      </c>
      <c r="J68" s="155">
        <f>+J26</f>
        <v>0</v>
      </c>
      <c r="K68" s="155">
        <f>+K26</f>
        <v>0</v>
      </c>
      <c r="L68" s="155">
        <f>+L26</f>
        <v>0</v>
      </c>
      <c r="M68" s="155">
        <f t="shared" ref="M68:S68" si="35">+M26</f>
        <v>0</v>
      </c>
      <c r="N68" s="155">
        <f t="shared" si="35"/>
        <v>0</v>
      </c>
      <c r="O68" s="155">
        <f t="shared" si="35"/>
        <v>0</v>
      </c>
      <c r="P68" s="155">
        <f t="shared" si="35"/>
        <v>0</v>
      </c>
      <c r="Q68" s="155">
        <f t="shared" si="35"/>
        <v>0</v>
      </c>
      <c r="R68" s="155">
        <f t="shared" si="35"/>
        <v>0</v>
      </c>
      <c r="S68" s="213">
        <f t="shared" si="35"/>
        <v>0</v>
      </c>
    </row>
    <row r="69" spans="1:19" x14ac:dyDescent="0.3">
      <c r="B69" s="114" t="s">
        <v>123</v>
      </c>
      <c r="C69" s="153"/>
      <c r="D69" s="153"/>
      <c r="E69" s="154">
        <f t="shared" si="34"/>
        <v>358763.28119004297</v>
      </c>
      <c r="F69" s="154"/>
      <c r="G69" s="154"/>
      <c r="H69" s="155">
        <f t="shared" ref="H69:S69" si="36">+H67*((1+$D$66)^(1/12)-1)</f>
        <v>0</v>
      </c>
      <c r="I69" s="155">
        <f t="shared" si="36"/>
        <v>30076.134971630665</v>
      </c>
      <c r="J69" s="155">
        <f t="shared" si="36"/>
        <v>30578.676024314969</v>
      </c>
      <c r="K69" s="155">
        <f t="shared" si="36"/>
        <v>31089.614017293337</v>
      </c>
      <c r="L69" s="155">
        <f t="shared" si="36"/>
        <v>31609.089254737788</v>
      </c>
      <c r="M69" s="155">
        <f t="shared" si="36"/>
        <v>32137.244385157686</v>
      </c>
      <c r="N69" s="155">
        <f t="shared" si="36"/>
        <v>32674.224440571175</v>
      </c>
      <c r="O69" s="155">
        <f t="shared" si="36"/>
        <v>33220.176876331163</v>
      </c>
      <c r="P69" s="155">
        <f t="shared" si="36"/>
        <v>33662.46610547309</v>
      </c>
      <c r="Q69" s="155">
        <f t="shared" si="36"/>
        <v>34112.145529366222</v>
      </c>
      <c r="R69" s="155">
        <f t="shared" si="36"/>
        <v>34569.338630507686</v>
      </c>
      <c r="S69" s="213">
        <f t="shared" si="36"/>
        <v>35034.170954659152</v>
      </c>
    </row>
    <row r="70" spans="1:19" x14ac:dyDescent="0.3">
      <c r="B70" s="114" t="s">
        <v>61</v>
      </c>
      <c r="C70" s="153"/>
      <c r="D70" s="153"/>
      <c r="E70" s="154">
        <f t="shared" si="34"/>
        <v>-1996403.8023307563</v>
      </c>
      <c r="F70" s="154"/>
      <c r="G70" s="154"/>
      <c r="H70" s="155">
        <f>+H$28</f>
        <v>0</v>
      </c>
      <c r="I70" s="155">
        <f>+I$28</f>
        <v>0</v>
      </c>
      <c r="J70" s="155">
        <f>+J$28</f>
        <v>0</v>
      </c>
      <c r="K70" s="155">
        <f>+K$28</f>
        <v>0</v>
      </c>
      <c r="L70" s="155">
        <f>+L$28</f>
        <v>0</v>
      </c>
      <c r="M70" s="155">
        <f t="shared" ref="M70:S70" si="37">+M$28</f>
        <v>0</v>
      </c>
      <c r="N70" s="155">
        <f t="shared" si="37"/>
        <v>0</v>
      </c>
      <c r="O70" s="155">
        <f t="shared" si="37"/>
        <v>-6750</v>
      </c>
      <c r="P70" s="155">
        <f t="shared" si="37"/>
        <v>-6750</v>
      </c>
      <c r="Q70" s="155">
        <f t="shared" si="37"/>
        <v>-6750</v>
      </c>
      <c r="R70" s="155">
        <f t="shared" si="37"/>
        <v>-6750</v>
      </c>
      <c r="S70" s="213">
        <f t="shared" si="37"/>
        <v>-1969403.8023307563</v>
      </c>
    </row>
    <row r="71" spans="1:19" x14ac:dyDescent="0.3">
      <c r="B71" s="114" t="s">
        <v>66</v>
      </c>
      <c r="C71" s="153"/>
      <c r="D71" s="153"/>
      <c r="E71" s="154">
        <f t="shared" si="34"/>
        <v>-97550.675011422951</v>
      </c>
      <c r="F71" s="154"/>
      <c r="G71" s="154"/>
      <c r="H71" s="155">
        <f>+H$42</f>
        <v>0</v>
      </c>
      <c r="I71" s="155">
        <f>+I$42</f>
        <v>0</v>
      </c>
      <c r="J71" s="155">
        <f>+J$42</f>
        <v>0</v>
      </c>
      <c r="K71" s="155">
        <f>+K$42</f>
        <v>0</v>
      </c>
      <c r="L71" s="155">
        <f>+L$42</f>
        <v>0</v>
      </c>
      <c r="M71" s="155">
        <f t="shared" ref="M71:S71" si="38">+M$42</f>
        <v>0</v>
      </c>
      <c r="N71" s="155">
        <f t="shared" si="38"/>
        <v>0</v>
      </c>
      <c r="O71" s="155">
        <f t="shared" si="38"/>
        <v>0</v>
      </c>
      <c r="P71" s="155">
        <f t="shared" si="38"/>
        <v>0</v>
      </c>
      <c r="Q71" s="155">
        <f t="shared" si="38"/>
        <v>0</v>
      </c>
      <c r="R71" s="155">
        <f t="shared" si="38"/>
        <v>0</v>
      </c>
      <c r="S71" s="213">
        <f t="shared" si="38"/>
        <v>-97550.675011422951</v>
      </c>
    </row>
    <row r="72" spans="1:19" x14ac:dyDescent="0.3">
      <c r="B72" s="114" t="s">
        <v>117</v>
      </c>
      <c r="C72" s="153"/>
      <c r="D72" s="153"/>
      <c r="E72" s="154">
        <f t="shared" si="34"/>
        <v>-32426.361846603686</v>
      </c>
      <c r="F72" s="154"/>
      <c r="G72" s="154"/>
      <c r="H72" s="155">
        <f>+H$57</f>
        <v>0</v>
      </c>
      <c r="I72" s="155">
        <f>+I$57</f>
        <v>0</v>
      </c>
      <c r="J72" s="155">
        <f>+J$57</f>
        <v>0</v>
      </c>
      <c r="K72" s="155">
        <f>+K$57</f>
        <v>0</v>
      </c>
      <c r="L72" s="155">
        <f>+L$57</f>
        <v>0</v>
      </c>
      <c r="M72" s="155">
        <f t="shared" ref="M72:S72" si="39">+M$57</f>
        <v>0</v>
      </c>
      <c r="N72" s="155">
        <f t="shared" si="39"/>
        <v>0</v>
      </c>
      <c r="O72" s="155">
        <f t="shared" si="39"/>
        <v>0</v>
      </c>
      <c r="P72" s="155">
        <f t="shared" si="39"/>
        <v>0</v>
      </c>
      <c r="Q72" s="155">
        <f t="shared" si="39"/>
        <v>0</v>
      </c>
      <c r="R72" s="155">
        <f t="shared" si="39"/>
        <v>0</v>
      </c>
      <c r="S72" s="213">
        <f t="shared" si="39"/>
        <v>-32426.361846603686</v>
      </c>
    </row>
    <row r="73" spans="1:19" x14ac:dyDescent="0.3">
      <c r="B73" s="114" t="s">
        <v>118</v>
      </c>
      <c r="C73" s="153"/>
      <c r="D73" s="153"/>
      <c r="E73" s="140">
        <f t="shared" si="34"/>
        <v>-32382.442001259886</v>
      </c>
      <c r="F73" s="140"/>
      <c r="G73" s="140"/>
      <c r="H73" s="142">
        <f t="shared" ref="H73:S73" si="40">MIN(0,MAX(-(H67+H69+H70+H71+H72),-$C$76*H64))</f>
        <v>0</v>
      </c>
      <c r="I73" s="142">
        <f t="shared" si="40"/>
        <v>0</v>
      </c>
      <c r="J73" s="142">
        <f t="shared" si="40"/>
        <v>0</v>
      </c>
      <c r="K73" s="142">
        <f t="shared" si="40"/>
        <v>0</v>
      </c>
      <c r="L73" s="142">
        <f t="shared" si="40"/>
        <v>0</v>
      </c>
      <c r="M73" s="142">
        <f t="shared" si="40"/>
        <v>0</v>
      </c>
      <c r="N73" s="142">
        <f t="shared" si="40"/>
        <v>0</v>
      </c>
      <c r="O73" s="142">
        <f t="shared" si="40"/>
        <v>0</v>
      </c>
      <c r="P73" s="142">
        <f t="shared" si="40"/>
        <v>0</v>
      </c>
      <c r="Q73" s="142">
        <f t="shared" si="40"/>
        <v>0</v>
      </c>
      <c r="R73" s="142">
        <f t="shared" si="40"/>
        <v>0</v>
      </c>
      <c r="S73" s="216">
        <f t="shared" si="40"/>
        <v>-32382.442001259886</v>
      </c>
    </row>
    <row r="74" spans="1:19" x14ac:dyDescent="0.3">
      <c r="B74" s="114" t="s">
        <v>62</v>
      </c>
      <c r="C74" s="153"/>
      <c r="D74" s="153"/>
      <c r="E74" s="154">
        <f>SUM(E68:E73)</f>
        <v>0</v>
      </c>
      <c r="F74" s="154"/>
      <c r="G74" s="277"/>
      <c r="H74" s="155">
        <f>SUM(H67:H73)</f>
        <v>1800000</v>
      </c>
      <c r="I74" s="155">
        <f>SUM(I67:I73)</f>
        <v>1830076.1349716308</v>
      </c>
      <c r="J74" s="155">
        <f>SUM(J67:J73)</f>
        <v>1860654.8109959457</v>
      </c>
      <c r="K74" s="155">
        <f>SUM(K67:K73)</f>
        <v>1891744.425013239</v>
      </c>
      <c r="L74" s="155">
        <f>SUM(L67:L73)</f>
        <v>1923353.5142679769</v>
      </c>
      <c r="M74" s="155">
        <f t="shared" ref="M74:S74" si="41">SUM(M67:M73)</f>
        <v>1955490.7586531346</v>
      </c>
      <c r="N74" s="155">
        <f t="shared" si="41"/>
        <v>1988164.9830937057</v>
      </c>
      <c r="O74" s="155">
        <f t="shared" si="41"/>
        <v>2014635.1599700369</v>
      </c>
      <c r="P74" s="155">
        <f t="shared" si="41"/>
        <v>2041547.6260755099</v>
      </c>
      <c r="Q74" s="155">
        <f t="shared" si="41"/>
        <v>2068909.7716048763</v>
      </c>
      <c r="R74" s="155">
        <f t="shared" si="41"/>
        <v>2096729.1102353837</v>
      </c>
      <c r="S74" s="213">
        <f t="shared" si="41"/>
        <v>0</v>
      </c>
    </row>
    <row r="75" spans="1:19" x14ac:dyDescent="0.3">
      <c r="B75" s="114"/>
      <c r="C75" s="153"/>
      <c r="D75" s="153"/>
      <c r="E75" s="157"/>
      <c r="F75" s="157"/>
      <c r="G75" s="157"/>
      <c r="H75" s="155"/>
      <c r="I75" s="155"/>
      <c r="J75" s="155"/>
      <c r="K75" s="155"/>
      <c r="L75" s="155"/>
      <c r="M75" s="155"/>
      <c r="N75" s="155"/>
      <c r="O75" s="155"/>
      <c r="P75" s="155"/>
      <c r="Q75" s="155"/>
      <c r="R75" s="155"/>
      <c r="S75" s="213"/>
    </row>
    <row r="76" spans="1:19" x14ac:dyDescent="0.3">
      <c r="B76" s="115" t="s">
        <v>124</v>
      </c>
      <c r="C76" s="162">
        <f>Q8</f>
        <v>0.55000000000000004</v>
      </c>
      <c r="D76" s="162"/>
      <c r="E76" s="154">
        <f>+SUM(H76:S76)</f>
        <v>32382.442001259886</v>
      </c>
      <c r="F76" s="154"/>
      <c r="G76" s="154"/>
      <c r="H76" s="159">
        <f>MAX(0,MIN(-(H68+H73),H67+H69))</f>
        <v>0</v>
      </c>
      <c r="I76" s="159">
        <f>MAX(0,MIN(-(I68+I73),I67+I69))</f>
        <v>0</v>
      </c>
      <c r="J76" s="159">
        <f>MAX(0,MIN(-(J68+J73),J67+J69))</f>
        <v>0</v>
      </c>
      <c r="K76" s="159">
        <f>MAX(0,MIN(-(K68+K73),K67+K69))</f>
        <v>0</v>
      </c>
      <c r="L76" s="159">
        <f>MAX(0,MIN(-(L68+L73),L67+L69))</f>
        <v>0</v>
      </c>
      <c r="M76" s="159">
        <f t="shared" ref="M76:S76" si="42">MAX(0,MIN(-(M68+M73),M67+M69))</f>
        <v>0</v>
      </c>
      <c r="N76" s="159">
        <f t="shared" si="42"/>
        <v>0</v>
      </c>
      <c r="O76" s="159">
        <f t="shared" si="42"/>
        <v>0</v>
      </c>
      <c r="P76" s="159">
        <f t="shared" si="42"/>
        <v>0</v>
      </c>
      <c r="Q76" s="159">
        <f t="shared" si="42"/>
        <v>0</v>
      </c>
      <c r="R76" s="159">
        <f t="shared" si="42"/>
        <v>0</v>
      </c>
      <c r="S76" s="214">
        <f t="shared" si="42"/>
        <v>32382.442001259886</v>
      </c>
    </row>
    <row r="77" spans="1:19" x14ac:dyDescent="0.3">
      <c r="B77" s="115" t="s">
        <v>125</v>
      </c>
      <c r="C77" s="162">
        <f>N8</f>
        <v>0.1</v>
      </c>
      <c r="D77" s="162"/>
      <c r="E77" s="154">
        <f>+SUM(H77:S77)</f>
        <v>5887.7167275017973</v>
      </c>
      <c r="F77" s="154"/>
      <c r="G77" s="154"/>
      <c r="H77" s="159">
        <f>-H73/$C$76*$C$77</f>
        <v>0</v>
      </c>
      <c r="I77" s="159">
        <f>-I73/$C$76*$C$77</f>
        <v>0</v>
      </c>
      <c r="J77" s="159">
        <f>-J73/$C$76*$C$77</f>
        <v>0</v>
      </c>
      <c r="K77" s="159">
        <f>-K73/$C$76*$C$77</f>
        <v>0</v>
      </c>
      <c r="L77" s="159">
        <f>-L73/$C$76*$C$77</f>
        <v>0</v>
      </c>
      <c r="M77" s="159">
        <f t="shared" ref="M77:S77" si="43">-M73/$C$76*$C$77</f>
        <v>0</v>
      </c>
      <c r="N77" s="159">
        <f t="shared" si="43"/>
        <v>0</v>
      </c>
      <c r="O77" s="159">
        <f t="shared" si="43"/>
        <v>0</v>
      </c>
      <c r="P77" s="159">
        <f t="shared" si="43"/>
        <v>0</v>
      </c>
      <c r="Q77" s="159">
        <f t="shared" si="43"/>
        <v>0</v>
      </c>
      <c r="R77" s="159">
        <f t="shared" si="43"/>
        <v>0</v>
      </c>
      <c r="S77" s="214">
        <f t="shared" si="43"/>
        <v>5887.7167275017973</v>
      </c>
    </row>
    <row r="78" spans="1:19" x14ac:dyDescent="0.3">
      <c r="B78" s="115" t="s">
        <v>126</v>
      </c>
      <c r="C78" s="162">
        <f>O8</f>
        <v>0.35</v>
      </c>
      <c r="D78" s="293"/>
      <c r="E78" s="154">
        <f>+SUM(H78:S78)</f>
        <v>20607.008546256289</v>
      </c>
      <c r="F78" s="161"/>
      <c r="G78" s="161"/>
      <c r="H78" s="159">
        <f>-H73/$C$76*$C$78</f>
        <v>0</v>
      </c>
      <c r="I78" s="159">
        <f>-I73/$C$76*$C$78</f>
        <v>0</v>
      </c>
      <c r="J78" s="159">
        <f>-J73/$C$76*$C$78</f>
        <v>0</v>
      </c>
      <c r="K78" s="159">
        <f>-K73/$C$76*$C$78</f>
        <v>0</v>
      </c>
      <c r="L78" s="159">
        <f>-L73/$C$76*$C$78</f>
        <v>0</v>
      </c>
      <c r="M78" s="159">
        <f t="shared" ref="M78:S78" si="44">-M73/$C$76*$C$78</f>
        <v>0</v>
      </c>
      <c r="N78" s="159">
        <f t="shared" si="44"/>
        <v>0</v>
      </c>
      <c r="O78" s="159">
        <f t="shared" si="44"/>
        <v>0</v>
      </c>
      <c r="P78" s="159">
        <f t="shared" si="44"/>
        <v>0</v>
      </c>
      <c r="Q78" s="159">
        <f t="shared" si="44"/>
        <v>0</v>
      </c>
      <c r="R78" s="159">
        <f t="shared" si="44"/>
        <v>0</v>
      </c>
      <c r="S78" s="214">
        <f t="shared" si="44"/>
        <v>20607.008546256289</v>
      </c>
    </row>
    <row r="79" spans="1:19" x14ac:dyDescent="0.3">
      <c r="B79" s="115"/>
      <c r="C79" s="162"/>
      <c r="D79" s="162"/>
      <c r="E79" s="157"/>
      <c r="F79" s="154"/>
      <c r="G79" s="154"/>
      <c r="H79" s="159"/>
      <c r="I79" s="159"/>
      <c r="J79" s="159"/>
      <c r="K79" s="159"/>
      <c r="L79" s="159"/>
      <c r="M79" s="159"/>
      <c r="N79" s="159"/>
      <c r="O79" s="159"/>
      <c r="P79" s="159"/>
      <c r="Q79" s="159"/>
      <c r="R79" s="159"/>
      <c r="S79" s="214"/>
    </row>
    <row r="80" spans="1:19" x14ac:dyDescent="0.3">
      <c r="B80" s="116" t="s">
        <v>64</v>
      </c>
      <c r="C80" s="163"/>
      <c r="D80" s="163"/>
      <c r="E80" s="140">
        <f>SUM(H80:S80)</f>
        <v>10248642.102507211</v>
      </c>
      <c r="F80" s="140"/>
      <c r="G80" s="140"/>
      <c r="H80" s="164">
        <f t="shared" ref="H80:S80" si="45">+H64-SUM(H76:H78)</f>
        <v>0</v>
      </c>
      <c r="I80" s="164">
        <f t="shared" si="45"/>
        <v>0</v>
      </c>
      <c r="J80" s="164">
        <f t="shared" si="45"/>
        <v>0</v>
      </c>
      <c r="K80" s="164">
        <f t="shared" si="45"/>
        <v>0</v>
      </c>
      <c r="L80" s="164">
        <f t="shared" si="45"/>
        <v>0</v>
      </c>
      <c r="M80" s="164">
        <f t="shared" si="45"/>
        <v>0</v>
      </c>
      <c r="N80" s="164">
        <f t="shared" si="45"/>
        <v>0</v>
      </c>
      <c r="O80" s="164">
        <f t="shared" si="45"/>
        <v>0</v>
      </c>
      <c r="P80" s="164">
        <f t="shared" si="45"/>
        <v>0</v>
      </c>
      <c r="Q80" s="164">
        <f t="shared" si="45"/>
        <v>0</v>
      </c>
      <c r="R80" s="164">
        <f t="shared" si="45"/>
        <v>0</v>
      </c>
      <c r="S80" s="215">
        <f t="shared" si="45"/>
        <v>10248642.102507211</v>
      </c>
    </row>
    <row r="81" spans="1:19" x14ac:dyDescent="0.3">
      <c r="C81" s="135"/>
      <c r="D81" s="135"/>
      <c r="E81" s="138"/>
      <c r="F81" s="138"/>
      <c r="G81" s="138"/>
      <c r="H81" s="118"/>
      <c r="I81" s="118"/>
      <c r="J81" s="118"/>
      <c r="K81" s="118"/>
      <c r="L81" s="118"/>
      <c r="M81" s="118"/>
      <c r="N81" s="118"/>
      <c r="O81" s="118"/>
      <c r="P81" s="118"/>
      <c r="Q81" s="118"/>
      <c r="R81" s="118"/>
      <c r="S81" s="118"/>
    </row>
    <row r="82" spans="1:19" x14ac:dyDescent="0.3">
      <c r="A82" s="359" t="s">
        <v>164</v>
      </c>
      <c r="B82" s="111" t="s">
        <v>114</v>
      </c>
      <c r="C82" s="279" t="s">
        <v>80</v>
      </c>
      <c r="D82" s="146">
        <f>M9</f>
        <v>0.22</v>
      </c>
      <c r="E82" s="138"/>
      <c r="F82" s="138"/>
      <c r="G82" s="138"/>
      <c r="H82" s="118"/>
      <c r="I82" s="118"/>
      <c r="J82" s="118"/>
      <c r="K82" s="118"/>
      <c r="L82" s="118"/>
      <c r="M82" s="118"/>
      <c r="N82" s="118"/>
      <c r="O82" s="118"/>
      <c r="P82" s="118"/>
      <c r="Q82" s="118"/>
      <c r="R82" s="118"/>
      <c r="S82" s="118"/>
    </row>
    <row r="83" spans="1:19" x14ac:dyDescent="0.3">
      <c r="B83" s="167" t="s">
        <v>124</v>
      </c>
      <c r="C83" s="294">
        <f>Q9</f>
        <v>0.4</v>
      </c>
      <c r="D83" s="150"/>
      <c r="E83" s="168">
        <f>+SUM(H83:S83)</f>
        <v>4099456.8410028848</v>
      </c>
      <c r="F83" s="151"/>
      <c r="G83" s="151"/>
      <c r="H83" s="152">
        <f>+$C$83*H80</f>
        <v>0</v>
      </c>
      <c r="I83" s="152">
        <f>+$C$83*I80</f>
        <v>0</v>
      </c>
      <c r="J83" s="152">
        <f>+$C$83*J80</f>
        <v>0</v>
      </c>
      <c r="K83" s="152">
        <f>+$C$83*K80</f>
        <v>0</v>
      </c>
      <c r="L83" s="152">
        <f>+$C$83*L80</f>
        <v>0</v>
      </c>
      <c r="M83" s="152">
        <f t="shared" ref="M83:S83" si="46">+$C$83*M80</f>
        <v>0</v>
      </c>
      <c r="N83" s="152">
        <f t="shared" si="46"/>
        <v>0</v>
      </c>
      <c r="O83" s="152">
        <f t="shared" si="46"/>
        <v>0</v>
      </c>
      <c r="P83" s="152">
        <f t="shared" si="46"/>
        <v>0</v>
      </c>
      <c r="Q83" s="152">
        <f t="shared" si="46"/>
        <v>0</v>
      </c>
      <c r="R83" s="152">
        <f t="shared" si="46"/>
        <v>0</v>
      </c>
      <c r="S83" s="212">
        <f t="shared" si="46"/>
        <v>4099456.8410028848</v>
      </c>
    </row>
    <row r="84" spans="1:19" x14ac:dyDescent="0.3">
      <c r="B84" s="115" t="s">
        <v>125</v>
      </c>
      <c r="C84" s="162">
        <f>N9</f>
        <v>0.1</v>
      </c>
      <c r="D84" s="153"/>
      <c r="E84" s="154">
        <f>+SUM(H84:S84)</f>
        <v>1024864.2102507212</v>
      </c>
      <c r="F84" s="157"/>
      <c r="G84" s="157"/>
      <c r="H84" s="155">
        <f>+$C$84*H80</f>
        <v>0</v>
      </c>
      <c r="I84" s="155">
        <f>+$C$84*I80</f>
        <v>0</v>
      </c>
      <c r="J84" s="155">
        <f>+$C$84*J80</f>
        <v>0</v>
      </c>
      <c r="K84" s="155">
        <f>+$C$84*K80</f>
        <v>0</v>
      </c>
      <c r="L84" s="155">
        <f>+$C$84*L80</f>
        <v>0</v>
      </c>
      <c r="M84" s="155">
        <f t="shared" ref="M84:S84" si="47">+$C$84*M80</f>
        <v>0</v>
      </c>
      <c r="N84" s="155">
        <f t="shared" si="47"/>
        <v>0</v>
      </c>
      <c r="O84" s="155">
        <f t="shared" si="47"/>
        <v>0</v>
      </c>
      <c r="P84" s="155">
        <f t="shared" si="47"/>
        <v>0</v>
      </c>
      <c r="Q84" s="155">
        <f t="shared" si="47"/>
        <v>0</v>
      </c>
      <c r="R84" s="155">
        <f t="shared" si="47"/>
        <v>0</v>
      </c>
      <c r="S84" s="213">
        <f t="shared" si="47"/>
        <v>1024864.2102507212</v>
      </c>
    </row>
    <row r="85" spans="1:19" x14ac:dyDescent="0.3">
      <c r="B85" s="115" t="s">
        <v>126</v>
      </c>
      <c r="C85" s="162">
        <f>O9</f>
        <v>0.5</v>
      </c>
      <c r="D85" s="293"/>
      <c r="E85" s="154">
        <f>+SUM(H85:S85)</f>
        <v>5124321.0512536056</v>
      </c>
      <c r="F85" s="169"/>
      <c r="G85" s="169"/>
      <c r="H85" s="155">
        <f>+$C$85*H80</f>
        <v>0</v>
      </c>
      <c r="I85" s="155">
        <f>+$C$85*I80</f>
        <v>0</v>
      </c>
      <c r="J85" s="155">
        <f>+$C$85*J80</f>
        <v>0</v>
      </c>
      <c r="K85" s="155">
        <f>+$C$85*K80</f>
        <v>0</v>
      </c>
      <c r="L85" s="155">
        <f>+$C$85*L80</f>
        <v>0</v>
      </c>
      <c r="M85" s="155">
        <f t="shared" ref="M85:S85" si="48">+$C$85*M80</f>
        <v>0</v>
      </c>
      <c r="N85" s="155">
        <f t="shared" si="48"/>
        <v>0</v>
      </c>
      <c r="O85" s="155">
        <f t="shared" si="48"/>
        <v>0</v>
      </c>
      <c r="P85" s="155">
        <f t="shared" si="48"/>
        <v>0</v>
      </c>
      <c r="Q85" s="155">
        <f t="shared" si="48"/>
        <v>0</v>
      </c>
      <c r="R85" s="155">
        <f t="shared" si="48"/>
        <v>0</v>
      </c>
      <c r="S85" s="213">
        <f t="shared" si="48"/>
        <v>5124321.0512536056</v>
      </c>
    </row>
    <row r="86" spans="1:19" x14ac:dyDescent="0.3">
      <c r="B86" s="115"/>
      <c r="C86" s="162"/>
      <c r="D86" s="162"/>
      <c r="E86" s="157"/>
      <c r="F86" s="154"/>
      <c r="G86" s="154"/>
      <c r="H86" s="159"/>
      <c r="I86" s="159"/>
      <c r="J86" s="159"/>
      <c r="K86" s="159"/>
      <c r="L86" s="159"/>
      <c r="M86" s="159"/>
      <c r="N86" s="159"/>
      <c r="O86" s="159"/>
      <c r="P86" s="159"/>
      <c r="Q86" s="159"/>
      <c r="R86" s="159"/>
      <c r="S86" s="214"/>
    </row>
    <row r="87" spans="1:19" x14ac:dyDescent="0.3">
      <c r="B87" s="116" t="s">
        <v>64</v>
      </c>
      <c r="C87" s="295"/>
      <c r="D87" s="295"/>
      <c r="E87" s="140">
        <f>SUM(H87:S87)</f>
        <v>0</v>
      </c>
      <c r="F87" s="141"/>
      <c r="G87" s="141"/>
      <c r="H87" s="142">
        <f t="shared" ref="H87:S87" si="49">+H80-SUM(H83:H85)</f>
        <v>0</v>
      </c>
      <c r="I87" s="142">
        <f t="shared" si="49"/>
        <v>0</v>
      </c>
      <c r="J87" s="142">
        <f t="shared" si="49"/>
        <v>0</v>
      </c>
      <c r="K87" s="142">
        <f t="shared" si="49"/>
        <v>0</v>
      </c>
      <c r="L87" s="142">
        <f t="shared" si="49"/>
        <v>0</v>
      </c>
      <c r="M87" s="142">
        <f t="shared" si="49"/>
        <v>0</v>
      </c>
      <c r="N87" s="142">
        <f t="shared" si="49"/>
        <v>0</v>
      </c>
      <c r="O87" s="142">
        <f t="shared" si="49"/>
        <v>0</v>
      </c>
      <c r="P87" s="142">
        <f t="shared" si="49"/>
        <v>0</v>
      </c>
      <c r="Q87" s="142">
        <f t="shared" si="49"/>
        <v>0</v>
      </c>
      <c r="R87" s="142">
        <f t="shared" si="49"/>
        <v>0</v>
      </c>
      <c r="S87" s="216">
        <f t="shared" si="49"/>
        <v>0</v>
      </c>
    </row>
    <row r="88" spans="1:19" x14ac:dyDescent="0.3">
      <c r="E88" s="138"/>
      <c r="F88" s="138"/>
      <c r="G88" s="138"/>
      <c r="H88" s="118"/>
      <c r="I88" s="118"/>
      <c r="J88" s="118"/>
      <c r="K88" s="118"/>
      <c r="L88" s="118"/>
      <c r="M88" s="118"/>
      <c r="N88" s="118"/>
      <c r="O88" s="118"/>
      <c r="P88" s="118"/>
      <c r="Q88" s="118"/>
      <c r="R88" s="118"/>
      <c r="S88" s="118"/>
    </row>
    <row r="89" spans="1:19" x14ac:dyDescent="0.3">
      <c r="B89" s="136" t="s">
        <v>81</v>
      </c>
      <c r="E89" s="138"/>
      <c r="F89" s="138"/>
      <c r="G89" s="138"/>
      <c r="H89" s="118"/>
      <c r="I89" s="118"/>
      <c r="J89" s="118"/>
      <c r="K89" s="118"/>
      <c r="L89" s="118"/>
      <c r="M89" s="118"/>
      <c r="N89" s="118"/>
      <c r="O89" s="118"/>
      <c r="P89" s="118"/>
      <c r="Q89" s="118"/>
      <c r="R89" s="118"/>
      <c r="S89" s="118"/>
    </row>
    <row r="90" spans="1:19" x14ac:dyDescent="0.3">
      <c r="E90" s="138"/>
      <c r="F90" s="138"/>
      <c r="G90" s="138"/>
      <c r="H90" s="118"/>
      <c r="I90" s="118"/>
      <c r="J90" s="118"/>
      <c r="K90" s="118"/>
      <c r="L90" s="118"/>
      <c r="M90" s="118"/>
      <c r="N90" s="118"/>
      <c r="O90" s="118"/>
      <c r="P90" s="118"/>
      <c r="Q90" s="118"/>
      <c r="R90" s="118"/>
      <c r="S90" s="118"/>
    </row>
    <row r="91" spans="1:19" x14ac:dyDescent="0.3">
      <c r="B91" s="296" t="s">
        <v>127</v>
      </c>
      <c r="E91" s="138"/>
      <c r="F91" s="138"/>
      <c r="G91" s="138"/>
      <c r="H91" s="144">
        <f>H16</f>
        <v>-2000000</v>
      </c>
      <c r="I91" s="144">
        <f>I16</f>
        <v>-2500000</v>
      </c>
      <c r="J91" s="144">
        <f>J16</f>
        <v>-10000000</v>
      </c>
      <c r="K91" s="144">
        <f>K16</f>
        <v>-2000000</v>
      </c>
      <c r="L91" s="144">
        <f>L16</f>
        <v>-3000000</v>
      </c>
      <c r="M91" s="144">
        <f t="shared" ref="M91:S91" si="50">M16</f>
        <v>-400000</v>
      </c>
      <c r="N91" s="144">
        <f t="shared" si="50"/>
        <v>-100000</v>
      </c>
      <c r="O91" s="144">
        <f t="shared" si="50"/>
        <v>75000</v>
      </c>
      <c r="P91" s="144">
        <f t="shared" si="50"/>
        <v>75000</v>
      </c>
      <c r="Q91" s="144">
        <f t="shared" si="50"/>
        <v>75000</v>
      </c>
      <c r="R91" s="144">
        <f t="shared" si="50"/>
        <v>75000</v>
      </c>
      <c r="S91" s="144">
        <f t="shared" si="50"/>
        <v>40000000</v>
      </c>
    </row>
    <row r="92" spans="1:19" x14ac:dyDescent="0.3">
      <c r="B92" s="167" t="s">
        <v>33</v>
      </c>
      <c r="C92" s="173">
        <f>(IRR(H91:S91,0.01)+1)^12-1</f>
        <v>1.5771137486302456</v>
      </c>
      <c r="D92" s="297"/>
      <c r="E92" s="154"/>
      <c r="F92" s="154"/>
      <c r="G92" s="154"/>
      <c r="H92" s="138"/>
      <c r="I92" s="138"/>
      <c r="J92" s="138"/>
      <c r="K92" s="138"/>
      <c r="L92" s="138"/>
      <c r="M92" s="138"/>
      <c r="N92" s="138"/>
      <c r="O92" s="138"/>
      <c r="P92" s="138"/>
      <c r="Q92" s="138"/>
      <c r="R92" s="138"/>
      <c r="S92" s="138"/>
    </row>
    <row r="93" spans="1:19" x14ac:dyDescent="0.3">
      <c r="B93" s="115" t="s">
        <v>83</v>
      </c>
      <c r="C93" s="280">
        <f>SUM(H91:S91)</f>
        <v>20300000</v>
      </c>
      <c r="D93" s="175"/>
      <c r="E93" s="159"/>
      <c r="F93" s="159"/>
      <c r="G93" s="159"/>
      <c r="H93" s="138"/>
      <c r="I93" s="138"/>
      <c r="J93" s="138"/>
      <c r="K93" s="138"/>
      <c r="L93" s="138"/>
      <c r="M93" s="138"/>
      <c r="N93" s="138"/>
      <c r="O93" s="138"/>
      <c r="P93" s="138"/>
      <c r="Q93" s="138"/>
      <c r="R93" s="138"/>
      <c r="S93" s="138"/>
    </row>
    <row r="94" spans="1:19" x14ac:dyDescent="0.3">
      <c r="B94" s="115" t="s">
        <v>84</v>
      </c>
      <c r="C94" s="280">
        <f>-SUMIF(H91:S91,"&lt;0",H91:S91)</f>
        <v>20000000</v>
      </c>
      <c r="D94" s="175"/>
      <c r="E94" s="159"/>
      <c r="F94" s="159"/>
      <c r="G94" s="159"/>
      <c r="H94" s="138"/>
      <c r="I94" s="138"/>
      <c r="J94" s="138"/>
      <c r="K94" s="138"/>
      <c r="L94" s="138"/>
      <c r="M94" s="138"/>
      <c r="N94" s="138"/>
      <c r="O94" s="138"/>
      <c r="P94" s="138"/>
      <c r="Q94" s="138"/>
      <c r="R94" s="138"/>
      <c r="S94" s="138"/>
    </row>
    <row r="95" spans="1:19" x14ac:dyDescent="0.3">
      <c r="B95" s="116" t="s">
        <v>85</v>
      </c>
      <c r="C95" s="177">
        <f>(C93+C94)/C94</f>
        <v>2.0150000000000001</v>
      </c>
      <c r="D95" s="178"/>
      <c r="E95" s="179"/>
      <c r="F95" s="179"/>
      <c r="G95" s="179"/>
      <c r="H95" s="138"/>
      <c r="I95" s="138"/>
      <c r="J95" s="138"/>
      <c r="K95" s="138"/>
      <c r="L95" s="138"/>
      <c r="M95" s="138"/>
      <c r="N95" s="138"/>
      <c r="O95" s="138"/>
      <c r="P95" s="138"/>
      <c r="Q95" s="138"/>
      <c r="R95" s="138"/>
      <c r="S95" s="138"/>
    </row>
    <row r="96" spans="1:19" x14ac:dyDescent="0.3">
      <c r="B96" s="182"/>
      <c r="C96" s="182"/>
      <c r="E96" s="138"/>
      <c r="F96" s="138"/>
      <c r="G96" s="138"/>
      <c r="H96" s="118"/>
      <c r="I96" s="118"/>
      <c r="J96" s="118"/>
      <c r="K96" s="118"/>
      <c r="L96" s="118"/>
      <c r="M96" s="118"/>
      <c r="N96" s="118"/>
      <c r="O96" s="118"/>
      <c r="P96" s="118"/>
      <c r="Q96" s="118"/>
      <c r="R96" s="118"/>
      <c r="S96" s="118"/>
    </row>
    <row r="97" spans="2:19" x14ac:dyDescent="0.3">
      <c r="B97" s="296" t="s">
        <v>128</v>
      </c>
      <c r="C97" s="182"/>
      <c r="E97" s="138"/>
      <c r="F97" s="138"/>
      <c r="G97" s="138"/>
      <c r="H97" s="144">
        <f t="shared" ref="H97:S97" si="51">+H31+H45+H60+H76+H83</f>
        <v>-1800000</v>
      </c>
      <c r="I97" s="144">
        <f t="shared" si="51"/>
        <v>0</v>
      </c>
      <c r="J97" s="144">
        <f t="shared" si="51"/>
        <v>0</v>
      </c>
      <c r="K97" s="144">
        <f t="shared" si="51"/>
        <v>0</v>
      </c>
      <c r="L97" s="144">
        <f t="shared" si="51"/>
        <v>0</v>
      </c>
      <c r="M97" s="144">
        <f t="shared" si="51"/>
        <v>0</v>
      </c>
      <c r="N97" s="144">
        <f t="shared" si="51"/>
        <v>0</v>
      </c>
      <c r="O97" s="144">
        <f t="shared" si="51"/>
        <v>6750</v>
      </c>
      <c r="P97" s="144">
        <f t="shared" si="51"/>
        <v>6750</v>
      </c>
      <c r="Q97" s="144">
        <f t="shared" si="51"/>
        <v>6750</v>
      </c>
      <c r="R97" s="144">
        <f t="shared" si="51"/>
        <v>6750</v>
      </c>
      <c r="S97" s="144">
        <f t="shared" si="51"/>
        <v>6231220.1221929276</v>
      </c>
    </row>
    <row r="98" spans="2:19" x14ac:dyDescent="0.3">
      <c r="B98" s="167" t="s">
        <v>33</v>
      </c>
      <c r="C98" s="173">
        <f>(IRR(H97:S97,0.01)+1)^12-1</f>
        <v>2.900028615152205</v>
      </c>
      <c r="D98" s="162"/>
      <c r="E98" s="154"/>
      <c r="F98" s="154"/>
      <c r="G98" s="154"/>
      <c r="H98" s="118"/>
      <c r="I98" s="118"/>
      <c r="J98" s="118"/>
      <c r="K98" s="118"/>
      <c r="L98" s="118"/>
      <c r="M98" s="118"/>
      <c r="N98" s="118"/>
      <c r="O98" s="118"/>
      <c r="P98" s="118"/>
      <c r="Q98" s="118"/>
      <c r="R98" s="118"/>
      <c r="S98" s="118"/>
    </row>
    <row r="99" spans="2:19" x14ac:dyDescent="0.3">
      <c r="B99" s="115" t="s">
        <v>83</v>
      </c>
      <c r="C99" s="280">
        <f>SUM(H97:S97)</f>
        <v>4458220.1221929276</v>
      </c>
      <c r="D99" s="175"/>
      <c r="E99" s="159"/>
      <c r="F99" s="159"/>
      <c r="G99" s="159"/>
      <c r="H99" s="118"/>
      <c r="I99" s="118"/>
      <c r="J99" s="118"/>
      <c r="K99" s="118"/>
      <c r="L99" s="118"/>
      <c r="M99" s="118"/>
      <c r="N99" s="118"/>
      <c r="O99" s="118"/>
      <c r="P99" s="118"/>
      <c r="Q99" s="118"/>
      <c r="R99" s="118"/>
      <c r="S99" s="118"/>
    </row>
    <row r="100" spans="2:19" x14ac:dyDescent="0.3">
      <c r="B100" s="115" t="s">
        <v>84</v>
      </c>
      <c r="C100" s="280">
        <f>-SUMIF(H97:S97,"&lt;0",H97:S97)</f>
        <v>1800000</v>
      </c>
      <c r="D100" s="175"/>
      <c r="E100" s="159"/>
      <c r="F100" s="159"/>
      <c r="G100" s="159"/>
      <c r="H100" s="118"/>
      <c r="I100" s="118"/>
      <c r="J100" s="118"/>
      <c r="K100" s="118"/>
      <c r="L100" s="118"/>
      <c r="M100" s="118"/>
      <c r="N100" s="118"/>
      <c r="O100" s="118"/>
      <c r="P100" s="118"/>
      <c r="Q100" s="118"/>
      <c r="R100" s="118"/>
      <c r="S100" s="118"/>
    </row>
    <row r="101" spans="2:19" x14ac:dyDescent="0.3">
      <c r="B101" s="116" t="s">
        <v>85</v>
      </c>
      <c r="C101" s="177">
        <f>(C99+C100)/C100</f>
        <v>3.4767889567738486</v>
      </c>
      <c r="D101" s="178"/>
      <c r="E101" s="179"/>
      <c r="F101" s="179"/>
      <c r="G101" s="179"/>
      <c r="H101" s="118"/>
      <c r="I101" s="118"/>
      <c r="J101" s="118"/>
      <c r="K101" s="118"/>
      <c r="L101" s="118"/>
      <c r="M101" s="118"/>
      <c r="N101" s="118"/>
      <c r="O101" s="118"/>
      <c r="P101" s="118"/>
      <c r="Q101" s="118"/>
      <c r="R101" s="118"/>
      <c r="S101" s="118"/>
    </row>
    <row r="102" spans="2:19" x14ac:dyDescent="0.3">
      <c r="B102" s="182"/>
      <c r="C102" s="182"/>
      <c r="E102" s="138"/>
      <c r="F102" s="138"/>
      <c r="G102" s="138"/>
      <c r="H102" s="118"/>
      <c r="I102" s="118"/>
      <c r="J102" s="118"/>
      <c r="K102" s="118"/>
      <c r="L102" s="118"/>
      <c r="M102" s="118"/>
      <c r="N102" s="118"/>
      <c r="O102" s="118"/>
      <c r="P102" s="118"/>
      <c r="Q102" s="118"/>
      <c r="R102" s="118"/>
      <c r="S102" s="118"/>
    </row>
    <row r="103" spans="2:19" x14ac:dyDescent="0.3">
      <c r="B103" s="296" t="s">
        <v>129</v>
      </c>
      <c r="C103" s="182"/>
      <c r="E103" s="157"/>
      <c r="F103" s="157"/>
      <c r="G103" s="138"/>
      <c r="H103" s="118"/>
      <c r="I103" s="118"/>
      <c r="J103" s="118"/>
      <c r="K103" s="118"/>
      <c r="L103" s="118"/>
      <c r="M103" s="118"/>
      <c r="N103" s="118"/>
      <c r="O103" s="118"/>
      <c r="P103" s="118"/>
      <c r="Q103" s="118"/>
      <c r="R103" s="118"/>
      <c r="S103" s="118"/>
    </row>
    <row r="104" spans="2:19" x14ac:dyDescent="0.3">
      <c r="B104" s="113" t="s">
        <v>130</v>
      </c>
      <c r="C104" s="281">
        <f>SUM(H104:S104)</f>
        <v>-200000</v>
      </c>
      <c r="E104" s="157"/>
      <c r="F104" s="157"/>
      <c r="G104" s="138"/>
      <c r="H104" s="118">
        <v>-200000</v>
      </c>
      <c r="I104" s="118">
        <v>0</v>
      </c>
      <c r="J104" s="118">
        <v>0</v>
      </c>
      <c r="K104" s="118">
        <v>0</v>
      </c>
      <c r="L104" s="118">
        <v>0</v>
      </c>
      <c r="M104" s="118">
        <v>0</v>
      </c>
      <c r="N104" s="118">
        <v>0</v>
      </c>
      <c r="O104" s="118">
        <v>0</v>
      </c>
      <c r="P104" s="118">
        <v>0</v>
      </c>
      <c r="Q104" s="118">
        <v>0</v>
      </c>
      <c r="R104" s="118">
        <v>0</v>
      </c>
      <c r="S104" s="118">
        <v>0</v>
      </c>
    </row>
    <row r="105" spans="2:19" x14ac:dyDescent="0.3">
      <c r="B105" s="114" t="s">
        <v>131</v>
      </c>
      <c r="C105" s="282">
        <f>SUM(H105:S105)</f>
        <v>1269757.0771113918</v>
      </c>
      <c r="E105" s="157"/>
      <c r="F105" s="157"/>
      <c r="G105" s="138"/>
      <c r="H105" s="118">
        <f t="shared" ref="H105:S106" si="52">+H32+H46+H61+H77+H84</f>
        <v>0</v>
      </c>
      <c r="I105" s="118">
        <f t="shared" si="52"/>
        <v>0</v>
      </c>
      <c r="J105" s="118">
        <f t="shared" si="52"/>
        <v>0</v>
      </c>
      <c r="K105" s="118">
        <f t="shared" si="52"/>
        <v>0</v>
      </c>
      <c r="L105" s="118">
        <f t="shared" si="52"/>
        <v>0</v>
      </c>
      <c r="M105" s="118">
        <f t="shared" si="52"/>
        <v>0</v>
      </c>
      <c r="N105" s="118">
        <f t="shared" si="52"/>
        <v>0</v>
      </c>
      <c r="O105" s="118">
        <f t="shared" si="52"/>
        <v>750</v>
      </c>
      <c r="P105" s="118">
        <f t="shared" si="52"/>
        <v>750</v>
      </c>
      <c r="Q105" s="118">
        <f t="shared" si="52"/>
        <v>750</v>
      </c>
      <c r="R105" s="118">
        <f t="shared" si="52"/>
        <v>750</v>
      </c>
      <c r="S105" s="118">
        <f t="shared" si="52"/>
        <v>1266757.0771113918</v>
      </c>
    </row>
    <row r="106" spans="2:19" ht="14.5" x14ac:dyDescent="0.45">
      <c r="B106" s="114" t="s">
        <v>132</v>
      </c>
      <c r="C106" s="283">
        <f>SUM(H106:S106)</f>
        <v>5169593.5718095992</v>
      </c>
      <c r="E106" s="157"/>
      <c r="F106" s="157"/>
      <c r="G106" s="141"/>
      <c r="H106" s="142">
        <f t="shared" si="52"/>
        <v>0</v>
      </c>
      <c r="I106" s="142">
        <f t="shared" si="52"/>
        <v>0</v>
      </c>
      <c r="J106" s="142">
        <f t="shared" si="52"/>
        <v>0</v>
      </c>
      <c r="K106" s="142">
        <f t="shared" si="52"/>
        <v>0</v>
      </c>
      <c r="L106" s="142">
        <f t="shared" si="52"/>
        <v>0</v>
      </c>
      <c r="M106" s="142">
        <f t="shared" si="52"/>
        <v>0</v>
      </c>
      <c r="N106" s="142">
        <f t="shared" si="52"/>
        <v>0</v>
      </c>
      <c r="O106" s="142">
        <f t="shared" si="52"/>
        <v>0</v>
      </c>
      <c r="P106" s="142">
        <f t="shared" si="52"/>
        <v>0</v>
      </c>
      <c r="Q106" s="142">
        <f t="shared" si="52"/>
        <v>0</v>
      </c>
      <c r="R106" s="142">
        <f t="shared" si="52"/>
        <v>0</v>
      </c>
      <c r="S106" s="142">
        <f t="shared" si="52"/>
        <v>5169593.5718095992</v>
      </c>
    </row>
    <row r="107" spans="2:19" x14ac:dyDescent="0.3">
      <c r="B107" s="115" t="s">
        <v>133</v>
      </c>
      <c r="C107" s="284">
        <f>SUM(H107:S107)</f>
        <v>6239350.6489209905</v>
      </c>
      <c r="E107" s="154"/>
      <c r="F107" s="154"/>
      <c r="G107" s="137"/>
      <c r="H107" s="144">
        <f>SUM(H104:H106)</f>
        <v>-200000</v>
      </c>
      <c r="I107" s="144">
        <f>SUM(I104:I106)</f>
        <v>0</v>
      </c>
      <c r="J107" s="144">
        <f>SUM(J104:J106)</f>
        <v>0</v>
      </c>
      <c r="K107" s="144">
        <f>SUM(K104:K106)</f>
        <v>0</v>
      </c>
      <c r="L107" s="144">
        <f>SUM(L104:L106)</f>
        <v>0</v>
      </c>
      <c r="M107" s="144">
        <f t="shared" ref="M107:S107" si="53">SUM(M104:M106)</f>
        <v>0</v>
      </c>
      <c r="N107" s="144">
        <f t="shared" si="53"/>
        <v>0</v>
      </c>
      <c r="O107" s="144">
        <f t="shared" si="53"/>
        <v>750</v>
      </c>
      <c r="P107" s="144">
        <f t="shared" si="53"/>
        <v>750</v>
      </c>
      <c r="Q107" s="144">
        <f t="shared" si="53"/>
        <v>750</v>
      </c>
      <c r="R107" s="144">
        <f t="shared" si="53"/>
        <v>750</v>
      </c>
      <c r="S107" s="144">
        <f t="shared" si="53"/>
        <v>6436350.6489209905</v>
      </c>
    </row>
    <row r="108" spans="2:19" x14ac:dyDescent="0.3">
      <c r="B108" s="115"/>
      <c r="C108" s="184"/>
      <c r="E108" s="157"/>
      <c r="F108" s="157"/>
      <c r="G108" s="138"/>
      <c r="H108" s="144"/>
      <c r="I108" s="144"/>
      <c r="J108" s="144"/>
      <c r="K108" s="144"/>
      <c r="L108" s="144"/>
      <c r="M108" s="144"/>
      <c r="N108" s="144"/>
      <c r="O108" s="144"/>
      <c r="P108" s="144"/>
      <c r="Q108" s="144"/>
      <c r="R108" s="144"/>
      <c r="S108" s="144"/>
    </row>
    <row r="109" spans="2:19" x14ac:dyDescent="0.3">
      <c r="B109" s="115" t="s">
        <v>33</v>
      </c>
      <c r="C109" s="185">
        <f>IF(C5=0,"NA",(IRR(H107:S107,0.01)+1)^12-1)</f>
        <v>43.175536319274308</v>
      </c>
      <c r="D109" s="186"/>
      <c r="E109" s="154"/>
      <c r="F109" s="154"/>
      <c r="G109" s="154"/>
      <c r="H109" s="118"/>
      <c r="I109" s="118"/>
      <c r="J109" s="118"/>
      <c r="K109" s="118"/>
      <c r="L109" s="118"/>
      <c r="M109" s="118"/>
      <c r="N109" s="118"/>
      <c r="O109" s="118"/>
      <c r="P109" s="118"/>
      <c r="Q109" s="118"/>
      <c r="R109" s="118"/>
      <c r="S109" s="118"/>
    </row>
    <row r="110" spans="2:19" x14ac:dyDescent="0.3">
      <c r="B110" s="115" t="s">
        <v>84</v>
      </c>
      <c r="C110" s="285">
        <f>IF(C5=0,"NA",-SUMIF(H107:S107,"&lt;0",H107:S107))</f>
        <v>200000</v>
      </c>
      <c r="D110" s="187"/>
      <c r="E110" s="159"/>
      <c r="F110" s="159"/>
      <c r="G110" s="159"/>
      <c r="H110" s="118"/>
      <c r="I110" s="118"/>
      <c r="J110" s="118"/>
      <c r="K110" s="118"/>
      <c r="L110" s="118"/>
      <c r="M110" s="118"/>
      <c r="N110" s="118"/>
      <c r="O110" s="118"/>
      <c r="P110" s="118"/>
      <c r="Q110" s="118"/>
      <c r="R110" s="118"/>
      <c r="S110" s="118"/>
    </row>
    <row r="111" spans="2:19" x14ac:dyDescent="0.3">
      <c r="B111" s="116" t="s">
        <v>85</v>
      </c>
      <c r="C111" s="177">
        <f>(C110+C107)/C110</f>
        <v>32.196753244604956</v>
      </c>
      <c r="D111" s="187"/>
      <c r="E111" s="179"/>
      <c r="F111" s="179"/>
      <c r="G111" s="179"/>
      <c r="H111" s="118"/>
      <c r="I111" s="118"/>
      <c r="J111" s="118"/>
      <c r="K111" s="118"/>
      <c r="L111" s="118"/>
      <c r="M111" s="118"/>
      <c r="N111" s="118"/>
      <c r="O111" s="118"/>
      <c r="P111" s="118"/>
      <c r="Q111" s="118"/>
      <c r="R111" s="118"/>
      <c r="S111" s="118"/>
    </row>
    <row r="112" spans="2:19" x14ac:dyDescent="0.3">
      <c r="E112" s="138"/>
      <c r="F112" s="138"/>
      <c r="G112" s="138"/>
      <c r="H112" s="138"/>
      <c r="I112" s="138"/>
      <c r="J112" s="138"/>
      <c r="K112" s="138"/>
      <c r="L112" s="138"/>
      <c r="M112" s="138"/>
      <c r="N112" s="138"/>
      <c r="O112" s="138"/>
      <c r="P112" s="138"/>
      <c r="Q112" s="138"/>
      <c r="R112" s="138"/>
      <c r="S112" s="138"/>
    </row>
    <row r="113" spans="2:19" x14ac:dyDescent="0.3">
      <c r="B113" s="117" t="s">
        <v>134</v>
      </c>
      <c r="E113" s="137">
        <f>SUM(H113:S113)</f>
        <v>9602429.2288860828</v>
      </c>
      <c r="F113" s="138"/>
      <c r="G113" s="138"/>
      <c r="H113" s="138">
        <f>'7. Double Promote Waterfall #1'!H93</f>
        <v>0</v>
      </c>
      <c r="I113" s="138">
        <f>'7. Double Promote Waterfall #1'!I93</f>
        <v>-2500000</v>
      </c>
      <c r="J113" s="138">
        <f>'7. Double Promote Waterfall #1'!J93</f>
        <v>-10000000</v>
      </c>
      <c r="K113" s="138">
        <f>'7. Double Promote Waterfall #1'!K93</f>
        <v>-2000000</v>
      </c>
      <c r="L113" s="138">
        <f>'7. Double Promote Waterfall #1'!L93</f>
        <v>-3000000</v>
      </c>
      <c r="M113" s="138">
        <f>'7. Double Promote Waterfall #1'!M93</f>
        <v>-400000</v>
      </c>
      <c r="N113" s="138">
        <f>'7. Double Promote Waterfall #1'!N93</f>
        <v>-100000</v>
      </c>
      <c r="O113" s="138">
        <f>'7. Double Promote Waterfall #1'!O93</f>
        <v>67500</v>
      </c>
      <c r="P113" s="138">
        <f>'7. Double Promote Waterfall #1'!P93</f>
        <v>67500</v>
      </c>
      <c r="Q113" s="138">
        <f>'7. Double Promote Waterfall #1'!Q93</f>
        <v>67500</v>
      </c>
      <c r="R113" s="138">
        <f>'7. Double Promote Waterfall #1'!R93</f>
        <v>67500</v>
      </c>
      <c r="S113" s="138">
        <f>'7. Double Promote Waterfall #1'!S93</f>
        <v>27332429.228886083</v>
      </c>
    </row>
    <row r="114" spans="2:19" ht="13.5" thickBot="1" x14ac:dyDescent="0.35"/>
    <row r="115" spans="2:19" x14ac:dyDescent="0.3">
      <c r="B115" s="189" t="s">
        <v>88</v>
      </c>
      <c r="C115" s="190">
        <f>+SUM(H16:S16)-C99-C107-E113</f>
        <v>0</v>
      </c>
      <c r="D115" s="192"/>
      <c r="E115" s="192"/>
      <c r="F115" s="192"/>
      <c r="G115" s="192"/>
    </row>
    <row r="116" spans="2:19" ht="13.5" thickBot="1" x14ac:dyDescent="0.35">
      <c r="B116" s="193" t="s">
        <v>89</v>
      </c>
      <c r="C116" s="298"/>
      <c r="D116" s="196"/>
      <c r="E116" s="196"/>
      <c r="F116" s="196"/>
      <c r="G116" s="196"/>
    </row>
    <row r="118" spans="2:19" x14ac:dyDescent="0.3">
      <c r="B118" s="130" t="s">
        <v>135</v>
      </c>
    </row>
    <row r="119" spans="2:19" ht="16.5" customHeight="1" x14ac:dyDescent="0.3">
      <c r="C119" s="199" t="s">
        <v>136</v>
      </c>
      <c r="D119" s="198"/>
      <c r="E119" s="199" t="s">
        <v>91</v>
      </c>
      <c r="F119" s="198"/>
      <c r="G119" s="198"/>
    </row>
    <row r="120" spans="2:19" x14ac:dyDescent="0.3">
      <c r="B120" s="198" t="s">
        <v>57</v>
      </c>
      <c r="C120" s="200">
        <f>D24</f>
        <v>0.12</v>
      </c>
      <c r="D120" s="135"/>
      <c r="E120" s="201">
        <f>(IRR(H120:S120,0.01)+1)^12-1</f>
        <v>0.12000000000000144</v>
      </c>
      <c r="F120" s="135"/>
      <c r="G120" s="135"/>
      <c r="H120" s="138">
        <f>-(H26+H28)</f>
        <v>-1800000</v>
      </c>
      <c r="I120" s="138">
        <f>-(I26+I28)</f>
        <v>0</v>
      </c>
      <c r="J120" s="138">
        <f>-(J26+J28)</f>
        <v>0</v>
      </c>
      <c r="K120" s="138">
        <f>-(K26+K28)</f>
        <v>0</v>
      </c>
      <c r="L120" s="138">
        <f>-(L26+L28)</f>
        <v>0</v>
      </c>
      <c r="M120" s="138">
        <f t="shared" ref="M120:S120" si="54">-(M26+M28)</f>
        <v>0</v>
      </c>
      <c r="N120" s="138">
        <f t="shared" si="54"/>
        <v>0</v>
      </c>
      <c r="O120" s="138">
        <f t="shared" si="54"/>
        <v>6750</v>
      </c>
      <c r="P120" s="138">
        <f t="shared" si="54"/>
        <v>6750</v>
      </c>
      <c r="Q120" s="138">
        <f t="shared" si="54"/>
        <v>6750</v>
      </c>
      <c r="R120" s="138">
        <f t="shared" si="54"/>
        <v>6750</v>
      </c>
      <c r="S120" s="138">
        <f t="shared" si="54"/>
        <v>1969403.8023307563</v>
      </c>
    </row>
    <row r="121" spans="2:19" x14ac:dyDescent="0.3">
      <c r="B121" s="198" t="s">
        <v>65</v>
      </c>
      <c r="C121" s="200">
        <f>D37</f>
        <v>0.18</v>
      </c>
      <c r="D121" s="135"/>
      <c r="E121" s="201">
        <f>(IRR(H121:S121,0.01)+1)^12-1</f>
        <v>0.17999999999999816</v>
      </c>
      <c r="F121" s="135"/>
      <c r="G121" s="135"/>
      <c r="H121" s="138">
        <f>-(H39+H41+H42)</f>
        <v>-1800000</v>
      </c>
      <c r="I121" s="138">
        <f>-(I39+I41+I42)</f>
        <v>0</v>
      </c>
      <c r="J121" s="138">
        <f>-(J39+J41+J42)</f>
        <v>0</v>
      </c>
      <c r="K121" s="138">
        <f>-(K39+K41+K42)</f>
        <v>0</v>
      </c>
      <c r="L121" s="138">
        <f>-(L39+L41+L42)</f>
        <v>0</v>
      </c>
      <c r="M121" s="138">
        <f t="shared" ref="M121:S121" si="55">-(M39+M41+M42)</f>
        <v>0</v>
      </c>
      <c r="N121" s="138">
        <f t="shared" si="55"/>
        <v>0</v>
      </c>
      <c r="O121" s="138">
        <f t="shared" si="55"/>
        <v>6750</v>
      </c>
      <c r="P121" s="138">
        <f t="shared" si="55"/>
        <v>6750</v>
      </c>
      <c r="Q121" s="138">
        <f t="shared" si="55"/>
        <v>6750</v>
      </c>
      <c r="R121" s="138">
        <f t="shared" si="55"/>
        <v>6750</v>
      </c>
      <c r="S121" s="138">
        <f t="shared" si="55"/>
        <v>2066954.4773421793</v>
      </c>
    </row>
    <row r="122" spans="2:19" x14ac:dyDescent="0.3">
      <c r="B122" s="198" t="s">
        <v>79</v>
      </c>
      <c r="C122" s="200">
        <f>D51</f>
        <v>0.2</v>
      </c>
      <c r="D122" s="135"/>
      <c r="E122" s="201">
        <f>(IRR(H122:S122,0.01)+1)^12-1</f>
        <v>0.19999999999999951</v>
      </c>
      <c r="F122" s="286"/>
      <c r="G122" s="286"/>
      <c r="H122" s="138">
        <f>-(H53+H55+H56+H57)</f>
        <v>-1800000</v>
      </c>
      <c r="I122" s="138">
        <f>-(I53+I55+I56+I57)</f>
        <v>0</v>
      </c>
      <c r="J122" s="138">
        <f>-(J53+J55+J56+J57)</f>
        <v>0</v>
      </c>
      <c r="K122" s="138">
        <f>-(K53+K55+K56+K57)</f>
        <v>0</v>
      </c>
      <c r="L122" s="138">
        <f>-(L53+L55+L56+L57)</f>
        <v>0</v>
      </c>
      <c r="M122" s="138">
        <f t="shared" ref="M122:S122" si="56">-(M53+M55+M56+M57)</f>
        <v>0</v>
      </c>
      <c r="N122" s="138">
        <f t="shared" si="56"/>
        <v>0</v>
      </c>
      <c r="O122" s="138">
        <f t="shared" si="56"/>
        <v>6750</v>
      </c>
      <c r="P122" s="138">
        <f t="shared" si="56"/>
        <v>6750</v>
      </c>
      <c r="Q122" s="138">
        <f t="shared" si="56"/>
        <v>6750</v>
      </c>
      <c r="R122" s="138">
        <f t="shared" si="56"/>
        <v>6750</v>
      </c>
      <c r="S122" s="138">
        <f t="shared" si="56"/>
        <v>2099380.839188783</v>
      </c>
    </row>
    <row r="123" spans="2:19" x14ac:dyDescent="0.3">
      <c r="B123" s="198" t="s">
        <v>113</v>
      </c>
      <c r="C123" s="200">
        <f>D66</f>
        <v>0.22</v>
      </c>
      <c r="D123" s="135"/>
      <c r="E123" s="201">
        <f>(IRR(H123:S123,0.01)+1)^12-1</f>
        <v>0.21999999999999886</v>
      </c>
      <c r="F123" s="135"/>
      <c r="G123" s="135"/>
      <c r="H123" s="138">
        <f>-(H68+H70+H71+H72+H73)</f>
        <v>-1800000</v>
      </c>
      <c r="I123" s="138">
        <f>-(I68+I70+I71+I72+I73)</f>
        <v>0</v>
      </c>
      <c r="J123" s="138">
        <f>-(J68+J70+J71+J72+J73)</f>
        <v>0</v>
      </c>
      <c r="K123" s="138">
        <f>-(K68+K70+K71+K72+K73)</f>
        <v>0</v>
      </c>
      <c r="L123" s="138">
        <f>-(L68+L70+L71+L72+L73)</f>
        <v>0</v>
      </c>
      <c r="M123" s="138">
        <f t="shared" ref="M123:S123" si="57">-(M68+M70+M71+M72+M73)</f>
        <v>0</v>
      </c>
      <c r="N123" s="138">
        <f t="shared" si="57"/>
        <v>0</v>
      </c>
      <c r="O123" s="138">
        <f t="shared" si="57"/>
        <v>6750</v>
      </c>
      <c r="P123" s="138">
        <f t="shared" si="57"/>
        <v>6750</v>
      </c>
      <c r="Q123" s="138">
        <f t="shared" si="57"/>
        <v>6750</v>
      </c>
      <c r="R123" s="138">
        <f t="shared" si="57"/>
        <v>6750</v>
      </c>
      <c r="S123" s="138">
        <f t="shared" si="57"/>
        <v>2131763.2811900428</v>
      </c>
    </row>
    <row r="124" spans="2:19" ht="6" customHeight="1" x14ac:dyDescent="0.3">
      <c r="E124" s="135"/>
      <c r="F124" s="135"/>
      <c r="G124" s="135"/>
      <c r="H124" s="135"/>
      <c r="I124" s="135"/>
      <c r="J124" s="135"/>
    </row>
    <row r="125" spans="2:19" x14ac:dyDescent="0.3">
      <c r="B125" s="202"/>
    </row>
  </sheetData>
  <mergeCells count="2">
    <mergeCell ref="J4:M4"/>
    <mergeCell ref="B10:D10"/>
  </mergeCells>
  <pageMargins left="0.54" right="0.43" top="0.31" bottom="0.49" header="0.25" footer="0.3"/>
  <pageSetup paperSize="5" scale="62" firstPageNumber="14" fitToHeight="2" orientation="landscape" useFirstPageNumber="1" horizontalDpi="1200" verticalDpi="1200" r:id="rId1"/>
  <headerFooter alignWithMargins="0">
    <oddFooter>&amp;L&amp;"Garamond,Regular"&amp;12Copyright 2009 Real Estate Financial Modeling, LLC. All rights reserved.&amp;R&amp;"Garamond,Regular"&amp;12Tab: &amp;A</oddFooter>
  </headerFooter>
  <rowBreaks count="1" manualBreakCount="1">
    <brk id="64" min="1" max="18"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41"/>
  <sheetViews>
    <sheetView zoomScaleNormal="100" zoomScaleSheetLayoutView="100" zoomScalePageLayoutView="70" workbookViewId="0"/>
  </sheetViews>
  <sheetFormatPr defaultColWidth="9" defaultRowHeight="18" x14ac:dyDescent="0.4"/>
  <cols>
    <col min="1" max="1" width="1.61328125" style="39" customWidth="1"/>
    <col min="2" max="2" width="32.15234375" style="39" customWidth="1"/>
    <col min="3" max="3" width="2.84375" style="39" customWidth="1"/>
    <col min="4" max="4" width="16.3828125" style="39" customWidth="1"/>
    <col min="5" max="5" width="2.3828125" style="39" customWidth="1"/>
    <col min="6" max="6" width="16.3828125" style="39" customWidth="1"/>
    <col min="7" max="7" width="2.3828125" style="39" customWidth="1"/>
    <col min="8" max="8" width="16.3828125" style="39" customWidth="1"/>
    <col min="9" max="9" width="2.3828125" style="39" customWidth="1"/>
    <col min="10" max="10" width="16.3828125" style="39" customWidth="1"/>
    <col min="11" max="11" width="2.15234375" style="39" customWidth="1"/>
    <col min="12" max="12" width="16.3828125" style="39" customWidth="1"/>
    <col min="13" max="13" width="5" style="39" customWidth="1"/>
    <col min="14" max="14" width="13.84375" style="39" customWidth="1"/>
    <col min="15" max="18" width="9" style="39"/>
    <col min="19" max="19" width="14.765625" style="39" customWidth="1"/>
    <col min="20" max="22" width="11.15234375" style="39" customWidth="1"/>
    <col min="23" max="16384" width="9" style="39"/>
  </cols>
  <sheetData>
    <row r="1" spans="2:22" x14ac:dyDescent="0.4">
      <c r="H1" s="299"/>
    </row>
    <row r="2" spans="2:22" ht="23" x14ac:dyDescent="0.5">
      <c r="B2" s="228" t="s">
        <v>156</v>
      </c>
    </row>
    <row r="3" spans="2:22" ht="23" x14ac:dyDescent="0.5">
      <c r="B3" s="229" t="s">
        <v>238</v>
      </c>
    </row>
    <row r="4" spans="2:22" s="224" customFormat="1" ht="84" customHeight="1" x14ac:dyDescent="0.3">
      <c r="D4" s="226" t="s">
        <v>106</v>
      </c>
      <c r="E4" s="226"/>
      <c r="F4" s="226" t="s">
        <v>107</v>
      </c>
      <c r="G4" s="226"/>
      <c r="H4" s="226" t="s">
        <v>5</v>
      </c>
      <c r="I4" s="226"/>
      <c r="J4" s="300" t="s">
        <v>137</v>
      </c>
      <c r="K4" s="226"/>
      <c r="L4" s="226" t="s">
        <v>138</v>
      </c>
    </row>
    <row r="5" spans="2:22" ht="3.75" customHeight="1" x14ac:dyDescent="0.4">
      <c r="J5" s="225"/>
    </row>
    <row r="6" spans="2:22" x14ac:dyDescent="0.4">
      <c r="B6" s="301" t="s">
        <v>139</v>
      </c>
      <c r="C6" s="301"/>
      <c r="D6" s="302">
        <f>'9. Double Promote Waterfall #2'!E5</f>
        <v>200000</v>
      </c>
      <c r="E6" s="302"/>
      <c r="F6" s="302">
        <f>'9. Double Promote Waterfall #2'!E6</f>
        <v>1800000</v>
      </c>
      <c r="G6" s="301"/>
      <c r="H6" s="302">
        <f>'7. Double Promote Waterfall #1'!E6</f>
        <v>18000000</v>
      </c>
      <c r="I6" s="301"/>
      <c r="J6" s="303">
        <f>SUM(D6:H6)</f>
        <v>20000000</v>
      </c>
      <c r="L6" s="302">
        <f>D6+F6</f>
        <v>2000000</v>
      </c>
    </row>
    <row r="7" spans="2:22" x14ac:dyDescent="0.4">
      <c r="B7" s="304" t="s">
        <v>140</v>
      </c>
      <c r="C7" s="301"/>
      <c r="D7" s="305">
        <f>D6/J6</f>
        <v>0.01</v>
      </c>
      <c r="E7" s="302"/>
      <c r="F7" s="305">
        <f>F6/J6</f>
        <v>0.09</v>
      </c>
      <c r="G7" s="301"/>
      <c r="H7" s="305">
        <f>H6/J6</f>
        <v>0.9</v>
      </c>
      <c r="I7" s="301"/>
      <c r="J7" s="305">
        <f>SUM(D7:H7)</f>
        <v>1</v>
      </c>
      <c r="L7" s="305">
        <f>L6/$J$6</f>
        <v>0.1</v>
      </c>
    </row>
    <row r="8" spans="2:22" x14ac:dyDescent="0.4">
      <c r="B8" s="301" t="s">
        <v>141</v>
      </c>
      <c r="C8" s="301"/>
      <c r="D8" s="302">
        <f>D6+D9</f>
        <v>6439350.6489209905</v>
      </c>
      <c r="E8" s="302"/>
      <c r="F8" s="302">
        <f>F6+F9</f>
        <v>6258220.1221929276</v>
      </c>
      <c r="G8" s="301"/>
      <c r="H8" s="302">
        <f>H6+H9</f>
        <v>27602429.228886083</v>
      </c>
      <c r="I8" s="301"/>
      <c r="J8" s="303">
        <f>D8+F8+H8</f>
        <v>40300000</v>
      </c>
      <c r="L8" s="302">
        <f>D8+F8</f>
        <v>12697570.771113917</v>
      </c>
    </row>
    <row r="9" spans="2:22" x14ac:dyDescent="0.4">
      <c r="B9" s="301" t="s">
        <v>142</v>
      </c>
      <c r="C9" s="301"/>
      <c r="D9" s="302">
        <f>'9. Double Promote Waterfall #2'!C107</f>
        <v>6239350.6489209905</v>
      </c>
      <c r="E9" s="302"/>
      <c r="F9" s="302">
        <f>'9. Double Promote Waterfall #2'!C99</f>
        <v>4458220.1221929276</v>
      </c>
      <c r="G9" s="301"/>
      <c r="H9" s="302">
        <f>'7. Double Promote Waterfall #1'!C95</f>
        <v>9602429.2288860828</v>
      </c>
      <c r="I9" s="301"/>
      <c r="J9" s="303">
        <f>D9+F9+H9</f>
        <v>20300000</v>
      </c>
      <c r="L9" s="302">
        <f>D9+F9</f>
        <v>10697570.771113917</v>
      </c>
    </row>
    <row r="10" spans="2:22" x14ac:dyDescent="0.4">
      <c r="B10" s="301" t="s">
        <v>143</v>
      </c>
      <c r="C10" s="301"/>
      <c r="D10" s="306">
        <f>D9/D6+1</f>
        <v>32.196753244604949</v>
      </c>
      <c r="E10" s="306"/>
      <c r="F10" s="306">
        <f>F9/F6+1</f>
        <v>3.4767889567738486</v>
      </c>
      <c r="G10" s="301"/>
      <c r="H10" s="306">
        <f>H9/H6+1</f>
        <v>1.5334682904936714</v>
      </c>
      <c r="I10" s="301"/>
      <c r="J10" s="307">
        <f>J9/J6+1</f>
        <v>2.0149999999999997</v>
      </c>
      <c r="L10" s="306">
        <f>L9/L6+1</f>
        <v>6.3487853855569583</v>
      </c>
    </row>
    <row r="11" spans="2:22" x14ac:dyDescent="0.4">
      <c r="B11" s="301" t="s">
        <v>144</v>
      </c>
      <c r="C11" s="301"/>
      <c r="D11" s="308">
        <f>'9. Double Promote Waterfall #2'!C109</f>
        <v>43.175536319274308</v>
      </c>
      <c r="E11" s="308"/>
      <c r="F11" s="308">
        <f>'9. Double Promote Waterfall #2'!C98</f>
        <v>2.900028615152205</v>
      </c>
      <c r="G11" s="308"/>
      <c r="H11" s="308">
        <f>'7. Double Promote Waterfall #1'!C94</f>
        <v>0.81524025246663512</v>
      </c>
      <c r="I11" s="301"/>
      <c r="J11" s="309">
        <f>'7. Double Promote Waterfall #1'!C88</f>
        <v>1.5771137486302456</v>
      </c>
      <c r="L11" s="308">
        <f>'7. Double Promote Waterfall #1'!C105</f>
        <v>6.5210288771287166</v>
      </c>
    </row>
    <row r="12" spans="2:22" ht="38.25" customHeight="1" x14ac:dyDescent="0.4">
      <c r="B12" s="310" t="s">
        <v>145</v>
      </c>
      <c r="C12" s="301"/>
      <c r="D12" s="311">
        <v>12</v>
      </c>
      <c r="E12" s="311"/>
      <c r="F12" s="311">
        <v>12</v>
      </c>
      <c r="G12" s="312"/>
      <c r="H12" s="311">
        <v>12</v>
      </c>
      <c r="I12" s="312"/>
      <c r="J12" s="313">
        <v>12</v>
      </c>
      <c r="L12" s="311">
        <v>12</v>
      </c>
    </row>
    <row r="13" spans="2:22" x14ac:dyDescent="0.4">
      <c r="J13" s="225"/>
    </row>
    <row r="14" spans="2:22" x14ac:dyDescent="0.4">
      <c r="J14" s="225"/>
    </row>
    <row r="15" spans="2:22" ht="23" x14ac:dyDescent="0.5">
      <c r="B15" s="229" t="s">
        <v>234</v>
      </c>
      <c r="N15" s="314" t="s">
        <v>233</v>
      </c>
    </row>
    <row r="16" spans="2:22" ht="54" x14ac:dyDescent="0.4">
      <c r="B16" s="315" t="s">
        <v>146</v>
      </c>
      <c r="C16" s="245"/>
      <c r="D16" s="316" t="s">
        <v>236</v>
      </c>
      <c r="E16" s="245"/>
      <c r="F16" s="316" t="s">
        <v>237</v>
      </c>
      <c r="G16" s="245"/>
      <c r="H16" s="316" t="s">
        <v>147</v>
      </c>
      <c r="I16" s="245"/>
      <c r="J16" s="316" t="s">
        <v>148</v>
      </c>
      <c r="K16" s="245"/>
      <c r="L16" s="317" t="s">
        <v>149</v>
      </c>
      <c r="O16" s="446" t="s">
        <v>150</v>
      </c>
      <c r="P16" s="446"/>
      <c r="Q16" s="446"/>
      <c r="R16" s="446"/>
      <c r="S16" s="318" t="str">
        <f>'7. Double Promote Waterfall #1'!O4</f>
        <v>Sponsor Promote</v>
      </c>
      <c r="T16" s="318" t="str">
        <f>'7. Double Promote Waterfall #1'!N4</f>
        <v>Sponsor Equity Pro-Rata Share</v>
      </c>
      <c r="U16" s="318" t="str">
        <f>'7. Double Promote Waterfall #1'!Q4</f>
        <v>Investor Profit Share</v>
      </c>
      <c r="V16" s="318" t="str">
        <f>'7. Double Promote Waterfall #1'!R4</f>
        <v>Total (must be 100%)</v>
      </c>
    </row>
    <row r="17" spans="2:23" ht="28.5" customHeight="1" x14ac:dyDescent="0.4">
      <c r="B17" s="319" t="s">
        <v>57</v>
      </c>
      <c r="C17" s="40"/>
      <c r="D17" s="320">
        <f>'7. Double Promote Waterfall #1'!E28+'7. Double Promote Waterfall #1'!E29</f>
        <v>2140947.3796571009</v>
      </c>
      <c r="E17" s="40"/>
      <c r="F17" s="321">
        <f t="shared" ref="F17:F22" si="0">D17/L17</f>
        <v>0.1</v>
      </c>
      <c r="G17" s="40"/>
      <c r="H17" s="320">
        <f>'7. Double Promote Waterfall #1'!E27+H6</f>
        <v>19268526.416913908</v>
      </c>
      <c r="I17" s="40"/>
      <c r="J17" s="321">
        <f t="shared" ref="J17:J22" si="1">H17/L17</f>
        <v>0.9</v>
      </c>
      <c r="K17" s="40"/>
      <c r="L17" s="322">
        <f t="shared" ref="L17:L22" si="2">H17+D17</f>
        <v>21409473.796571009</v>
      </c>
      <c r="N17" s="39" t="str">
        <f>'7. Double Promote Waterfall #1'!I5</f>
        <v>Tier 1</v>
      </c>
      <c r="O17" s="39" t="str">
        <f>'7. Double Promote Waterfall #1'!J5</f>
        <v>From</v>
      </c>
      <c r="P17" s="287">
        <f>'7. Double Promote Waterfall #1'!K5</f>
        <v>0</v>
      </c>
      <c r="Q17" s="39" t="str">
        <f>'7. Double Promote Waterfall #1'!L5</f>
        <v>through</v>
      </c>
      <c r="R17" s="299">
        <f>'7. Double Promote Waterfall #1'!M5</f>
        <v>0.1</v>
      </c>
      <c r="S17" s="287">
        <f>'7. Double Promote Waterfall #1'!O5</f>
        <v>0</v>
      </c>
      <c r="T17" s="287">
        <f>'7. Double Promote Waterfall #1'!N5</f>
        <v>0.1</v>
      </c>
      <c r="U17" s="287">
        <f>'7. Double Promote Waterfall #1'!Q5</f>
        <v>0.9</v>
      </c>
      <c r="V17" s="287">
        <f>'7. Double Promote Waterfall #1'!R5</f>
        <v>1</v>
      </c>
    </row>
    <row r="18" spans="2:23" x14ac:dyDescent="0.4">
      <c r="B18" s="319" t="s">
        <v>65</v>
      </c>
      <c r="C18" s="40"/>
      <c r="D18" s="320">
        <f>'7. Double Promote Waterfall #1'!E42+'7. Double Promote Waterfall #1'!E43</f>
        <v>155621.54287213366</v>
      </c>
      <c r="E18" s="40"/>
      <c r="F18" s="321">
        <f t="shared" si="0"/>
        <v>0.2</v>
      </c>
      <c r="G18" s="40"/>
      <c r="H18" s="320">
        <f>'7. Double Promote Waterfall #1'!E41</f>
        <v>622486.17148853466</v>
      </c>
      <c r="I18" s="40"/>
      <c r="J18" s="321">
        <f t="shared" si="1"/>
        <v>0.8</v>
      </c>
      <c r="K18" s="40"/>
      <c r="L18" s="322">
        <f t="shared" si="2"/>
        <v>778107.71436066832</v>
      </c>
      <c r="N18" s="39" t="str">
        <f>'7. Double Promote Waterfall #1'!I6</f>
        <v>Tier 2</v>
      </c>
      <c r="O18" s="39" t="str">
        <f>'7. Double Promote Waterfall #1'!J6</f>
        <v>Above</v>
      </c>
      <c r="P18" s="287">
        <f>'7. Double Promote Waterfall #1'!K6</f>
        <v>0.1</v>
      </c>
      <c r="Q18" s="39" t="str">
        <f>'7. Double Promote Waterfall #1'!L6</f>
        <v>through</v>
      </c>
      <c r="R18" s="299">
        <f>'7. Double Promote Waterfall #1'!M6</f>
        <v>0.15</v>
      </c>
      <c r="S18" s="287">
        <f>'7. Double Promote Waterfall #1'!O6</f>
        <v>0.1</v>
      </c>
      <c r="T18" s="287">
        <f>'7. Double Promote Waterfall #1'!N6</f>
        <v>0.1</v>
      </c>
      <c r="U18" s="287">
        <f>'7. Double Promote Waterfall #1'!Q6</f>
        <v>0.8</v>
      </c>
      <c r="V18" s="287">
        <f>'7. Double Promote Waterfall #1'!R6</f>
        <v>1</v>
      </c>
    </row>
    <row r="19" spans="2:23" x14ac:dyDescent="0.4">
      <c r="B19" s="319" t="s">
        <v>79</v>
      </c>
      <c r="C19" s="40"/>
      <c r="D19" s="320">
        <f>'7. Double Promote Waterfall #1'!E57+'7. Double Promote Waterfall #1'!E58</f>
        <v>263666.8268256177</v>
      </c>
      <c r="E19" s="40"/>
      <c r="F19" s="321">
        <f t="shared" si="0"/>
        <v>0.3</v>
      </c>
      <c r="G19" s="40"/>
      <c r="H19" s="320">
        <f>'7. Double Promote Waterfall #1'!E56</f>
        <v>615222.59592644125</v>
      </c>
      <c r="I19" s="40"/>
      <c r="J19" s="321">
        <f t="shared" si="1"/>
        <v>0.7</v>
      </c>
      <c r="K19" s="40"/>
      <c r="L19" s="322">
        <f t="shared" si="2"/>
        <v>878889.42275205895</v>
      </c>
      <c r="N19" s="39" t="str">
        <f>'7. Double Promote Waterfall #1'!I7</f>
        <v>Tier 3</v>
      </c>
      <c r="O19" s="39" t="str">
        <f>'7. Double Promote Waterfall #1'!J7</f>
        <v>Above</v>
      </c>
      <c r="P19" s="287">
        <f>'7. Double Promote Waterfall #1'!K7</f>
        <v>0.15</v>
      </c>
      <c r="Q19" s="39" t="str">
        <f>'7. Double Promote Waterfall #1'!L7</f>
        <v>through</v>
      </c>
      <c r="R19" s="299">
        <f>'7. Double Promote Waterfall #1'!M7</f>
        <v>0.2</v>
      </c>
      <c r="S19" s="287">
        <f>'7. Double Promote Waterfall #1'!O7</f>
        <v>0.2</v>
      </c>
      <c r="T19" s="287">
        <f>'7. Double Promote Waterfall #1'!N7</f>
        <v>0.1</v>
      </c>
      <c r="U19" s="287">
        <f>'7. Double Promote Waterfall #1'!Q7</f>
        <v>0.7</v>
      </c>
      <c r="V19" s="287">
        <f>'7. Double Promote Waterfall #1'!R7</f>
        <v>1</v>
      </c>
    </row>
    <row r="20" spans="2:23" x14ac:dyDescent="0.4">
      <c r="B20" s="319" t="s">
        <v>113</v>
      </c>
      <c r="C20" s="40"/>
      <c r="D20" s="320">
        <f>'7. Double Promote Waterfall #1'!E73+'7. Double Promote Waterfall #1'!E74</f>
        <v>405564.83606138331</v>
      </c>
      <c r="E20" s="40"/>
      <c r="F20" s="321">
        <f t="shared" si="0"/>
        <v>0.39999999999999997</v>
      </c>
      <c r="G20" s="40"/>
      <c r="H20" s="320">
        <f>'7. Double Promote Waterfall #1'!E72</f>
        <v>608347.25409207493</v>
      </c>
      <c r="I20" s="40"/>
      <c r="J20" s="321">
        <f t="shared" si="1"/>
        <v>0.6</v>
      </c>
      <c r="K20" s="40"/>
      <c r="L20" s="322">
        <f t="shared" si="2"/>
        <v>1013912.0901534583</v>
      </c>
      <c r="N20" s="39" t="str">
        <f>'7. Double Promote Waterfall #1'!I8</f>
        <v>Tier 4</v>
      </c>
      <c r="O20" s="39" t="str">
        <f>'7. Double Promote Waterfall #1'!J8</f>
        <v>Above</v>
      </c>
      <c r="P20" s="287">
        <f>'7. Double Promote Waterfall #1'!K8</f>
        <v>0.2</v>
      </c>
      <c r="Q20" s="39" t="str">
        <f>'7. Double Promote Waterfall #1'!L8</f>
        <v>through</v>
      </c>
      <c r="R20" s="299">
        <f>'7. Double Promote Waterfall #1'!M8</f>
        <v>0.25</v>
      </c>
      <c r="S20" s="287">
        <f>'7. Double Promote Waterfall #1'!O8</f>
        <v>0.3</v>
      </c>
      <c r="T20" s="287">
        <f>'7. Double Promote Waterfall #1'!N8</f>
        <v>0.1</v>
      </c>
      <c r="U20" s="287">
        <f>'7. Double Promote Waterfall #1'!Q8</f>
        <v>0.6</v>
      </c>
      <c r="V20" s="287">
        <f>'7. Double Promote Waterfall #1'!R8</f>
        <v>1</v>
      </c>
    </row>
    <row r="21" spans="2:23" x14ac:dyDescent="0.4">
      <c r="B21" s="319" t="s">
        <v>114</v>
      </c>
      <c r="C21" s="40"/>
      <c r="D21" s="323">
        <f>'7. Double Promote Waterfall #1'!E80+'7. Double Promote Waterfall #1'!E81</f>
        <v>9731770.1856976822</v>
      </c>
      <c r="E21" s="247"/>
      <c r="F21" s="321">
        <f t="shared" si="0"/>
        <v>0.6</v>
      </c>
      <c r="G21" s="247"/>
      <c r="H21" s="323">
        <f>'7. Double Promote Waterfall #1'!E79</f>
        <v>6487846.7904651221</v>
      </c>
      <c r="I21" s="247"/>
      <c r="J21" s="321">
        <f t="shared" si="1"/>
        <v>0.4</v>
      </c>
      <c r="K21" s="247"/>
      <c r="L21" s="324">
        <f t="shared" si="2"/>
        <v>16219616.976162804</v>
      </c>
      <c r="N21" s="39" t="str">
        <f>'7. Double Promote Waterfall #1'!I9</f>
        <v>Tier 5</v>
      </c>
      <c r="P21" s="299"/>
      <c r="Q21" s="39" t="str">
        <f>'7. Double Promote Waterfall #1'!L9</f>
        <v>Above</v>
      </c>
      <c r="R21" s="299">
        <f>'7. Double Promote Waterfall #1'!M9</f>
        <v>0.25</v>
      </c>
      <c r="S21" s="287">
        <f>'7. Double Promote Waterfall #1'!O9</f>
        <v>0.5</v>
      </c>
      <c r="T21" s="287">
        <f>'7. Double Promote Waterfall #1'!N9</f>
        <v>0.1</v>
      </c>
      <c r="U21" s="287">
        <f>'7. Double Promote Waterfall #1'!Q9</f>
        <v>0.4</v>
      </c>
      <c r="V21" s="287">
        <f>'7. Double Promote Waterfall #1'!R9</f>
        <v>1</v>
      </c>
    </row>
    <row r="22" spans="2:23" s="225" customFormat="1" x14ac:dyDescent="0.4">
      <c r="B22" s="325" t="s">
        <v>0</v>
      </c>
      <c r="C22" s="326"/>
      <c r="D22" s="327">
        <f>SUM(D17:D21)</f>
        <v>12697570.771113917</v>
      </c>
      <c r="E22" s="326"/>
      <c r="F22" s="328">
        <f t="shared" si="0"/>
        <v>0.31507619779439</v>
      </c>
      <c r="G22" s="326"/>
      <c r="H22" s="327">
        <f>SUM(H17:H21)</f>
        <v>27602429.228886083</v>
      </c>
      <c r="I22" s="326"/>
      <c r="J22" s="328">
        <f t="shared" si="1"/>
        <v>0.68492380220561</v>
      </c>
      <c r="K22" s="326"/>
      <c r="L22" s="329">
        <f t="shared" si="2"/>
        <v>40300000</v>
      </c>
    </row>
    <row r="23" spans="2:23" x14ac:dyDescent="0.4">
      <c r="B23" s="330"/>
      <c r="C23" s="40"/>
      <c r="D23" s="320"/>
      <c r="E23" s="40"/>
      <c r="F23" s="40"/>
      <c r="G23" s="40"/>
      <c r="H23" s="40"/>
      <c r="I23" s="40"/>
      <c r="J23" s="321"/>
      <c r="K23" s="40"/>
      <c r="L23" s="322"/>
    </row>
    <row r="24" spans="2:23" x14ac:dyDescent="0.4">
      <c r="B24" s="331" t="s">
        <v>151</v>
      </c>
      <c r="C24" s="326"/>
      <c r="D24" s="327">
        <f>'7. Double Promote Waterfall #1'!A24-'7. Double Promote Waterfall #1'!E5</f>
        <v>-2000000</v>
      </c>
      <c r="E24" s="326"/>
      <c r="F24" s="328">
        <f>D24/L24</f>
        <v>0.1</v>
      </c>
      <c r="G24" s="326"/>
      <c r="H24" s="327">
        <f>-'7. Double Promote Waterfall #1'!E6</f>
        <v>-18000000</v>
      </c>
      <c r="I24" s="326"/>
      <c r="J24" s="328">
        <f>H24/L24</f>
        <v>0.9</v>
      </c>
      <c r="K24" s="326"/>
      <c r="L24" s="329">
        <f>D24+H24</f>
        <v>-20000000</v>
      </c>
    </row>
    <row r="25" spans="2:23" x14ac:dyDescent="0.4">
      <c r="B25" s="332" t="s">
        <v>142</v>
      </c>
      <c r="C25" s="333"/>
      <c r="D25" s="334">
        <f>SUM(D22:D24)</f>
        <v>10697570.771113917</v>
      </c>
      <c r="E25" s="333"/>
      <c r="F25" s="335">
        <f>D25/L25</f>
        <v>0.52697392961152301</v>
      </c>
      <c r="G25" s="333"/>
      <c r="H25" s="334">
        <f>SUM(H22:H24)</f>
        <v>9602429.2288860828</v>
      </c>
      <c r="I25" s="333"/>
      <c r="J25" s="335">
        <f>H25/L25</f>
        <v>0.47302607038847699</v>
      </c>
      <c r="K25" s="333"/>
      <c r="L25" s="336">
        <f>SUM(L22:L24)</f>
        <v>20300000</v>
      </c>
    </row>
    <row r="27" spans="2:23" ht="23" x14ac:dyDescent="0.5">
      <c r="B27" s="229" t="s">
        <v>235</v>
      </c>
      <c r="N27" s="314" t="s">
        <v>232</v>
      </c>
    </row>
    <row r="28" spans="2:23" ht="35.25" customHeight="1" x14ac:dyDescent="0.4">
      <c r="B28" s="315" t="s">
        <v>146</v>
      </c>
      <c r="C28" s="245"/>
      <c r="D28" s="316" t="s">
        <v>129</v>
      </c>
      <c r="E28" s="245"/>
      <c r="F28" s="316" t="s">
        <v>152</v>
      </c>
      <c r="G28" s="245"/>
      <c r="H28" s="316" t="s">
        <v>128</v>
      </c>
      <c r="I28" s="245"/>
      <c r="J28" s="316" t="s">
        <v>153</v>
      </c>
      <c r="K28" s="245"/>
      <c r="L28" s="317" t="s">
        <v>149</v>
      </c>
      <c r="O28" s="446" t="s">
        <v>150</v>
      </c>
      <c r="P28" s="446"/>
      <c r="Q28" s="446"/>
      <c r="R28" s="446"/>
      <c r="S28" s="318" t="str">
        <f>'9. Double Promote Waterfall #2'!O4</f>
        <v>Sponsor Promote</v>
      </c>
      <c r="T28" s="318" t="str">
        <f>'9. Double Promote Waterfall #2'!N4</f>
        <v>Sponsor Equity Pro-Rata Share</v>
      </c>
      <c r="U28" s="318" t="str">
        <f>'9. Double Promote Waterfall #2'!Q4</f>
        <v>Partner Profit Share</v>
      </c>
      <c r="V28" s="318" t="str">
        <f>'9. Double Promote Waterfall #2'!R4</f>
        <v>Total (must be 100%)</v>
      </c>
    </row>
    <row r="29" spans="2:23" ht="28.5" customHeight="1" x14ac:dyDescent="0.4">
      <c r="B29" s="319" t="s">
        <v>57</v>
      </c>
      <c r="C29" s="40"/>
      <c r="D29" s="320">
        <f>'9. Double Promote Waterfall #2'!E32+'9. Double Promote Waterfall #2'!E33</f>
        <v>221822.64470341738</v>
      </c>
      <c r="E29" s="40"/>
      <c r="F29" s="321">
        <f t="shared" ref="F29:F34" si="3">D29/L29</f>
        <v>0.1</v>
      </c>
      <c r="G29" s="40"/>
      <c r="H29" s="320">
        <f>'9. Double Promote Waterfall #2'!E31+F6</f>
        <v>1996403.8023307563</v>
      </c>
      <c r="I29" s="40"/>
      <c r="J29" s="321">
        <f t="shared" ref="J29:J34" si="4">H29/L29</f>
        <v>0.9</v>
      </c>
      <c r="K29" s="40"/>
      <c r="L29" s="322">
        <f t="shared" ref="L29:L34" si="5">H29+D29</f>
        <v>2218226.4470341736</v>
      </c>
      <c r="N29" s="39" t="str">
        <f>'9. Double Promote Waterfall #2'!I5</f>
        <v>Tier 1</v>
      </c>
      <c r="O29" s="39" t="str">
        <f>'9. Double Promote Waterfall #2'!J5</f>
        <v>From</v>
      </c>
      <c r="P29" s="287">
        <f>'9. Double Promote Waterfall #2'!K5</f>
        <v>0</v>
      </c>
      <c r="Q29" s="39" t="str">
        <f>'9. Double Promote Waterfall #2'!L5</f>
        <v>through</v>
      </c>
      <c r="R29" s="299">
        <f>'9. Double Promote Waterfall #2'!M5</f>
        <v>0.12</v>
      </c>
      <c r="S29" s="287">
        <f>'9. Double Promote Waterfall #2'!O5</f>
        <v>0</v>
      </c>
      <c r="T29" s="287">
        <f>'9. Double Promote Waterfall #2'!N5</f>
        <v>0.1</v>
      </c>
      <c r="U29" s="287">
        <f>'9. Double Promote Waterfall #2'!Q5</f>
        <v>0.9</v>
      </c>
      <c r="V29" s="287">
        <f>'9. Double Promote Waterfall #2'!R5</f>
        <v>1</v>
      </c>
      <c r="W29" s="299"/>
    </row>
    <row r="30" spans="2:23" x14ac:dyDescent="0.4">
      <c r="B30" s="319" t="s">
        <v>65</v>
      </c>
      <c r="C30" s="40"/>
      <c r="D30" s="320">
        <f>'9. Double Promote Waterfall #2'!E46+'9. Double Promote Waterfall #2'!E47</f>
        <v>24387.668752855738</v>
      </c>
      <c r="E30" s="40"/>
      <c r="F30" s="321">
        <f t="shared" si="3"/>
        <v>0.2</v>
      </c>
      <c r="G30" s="40"/>
      <c r="H30" s="320">
        <f>'9. Double Promote Waterfall #2'!E45</f>
        <v>97550.675011422951</v>
      </c>
      <c r="I30" s="40"/>
      <c r="J30" s="321">
        <f t="shared" si="4"/>
        <v>0.8</v>
      </c>
      <c r="K30" s="40"/>
      <c r="L30" s="322">
        <f t="shared" si="5"/>
        <v>121938.34376427869</v>
      </c>
      <c r="N30" s="39" t="str">
        <f>'9. Double Promote Waterfall #2'!I6</f>
        <v>Tier 2</v>
      </c>
      <c r="O30" s="39" t="str">
        <f>'9. Double Promote Waterfall #2'!J6</f>
        <v>Above</v>
      </c>
      <c r="P30" s="287">
        <f>'9. Double Promote Waterfall #2'!K6</f>
        <v>0.12</v>
      </c>
      <c r="Q30" s="39" t="str">
        <f>'9. Double Promote Waterfall #2'!L6</f>
        <v>through</v>
      </c>
      <c r="R30" s="299">
        <f>'9. Double Promote Waterfall #2'!M6</f>
        <v>0.18</v>
      </c>
      <c r="S30" s="287">
        <f>'9. Double Promote Waterfall #2'!O6</f>
        <v>0.1</v>
      </c>
      <c r="T30" s="287">
        <f>'9. Double Promote Waterfall #2'!N6</f>
        <v>0.1</v>
      </c>
      <c r="U30" s="287">
        <f>'9. Double Promote Waterfall #2'!Q6</f>
        <v>0.8</v>
      </c>
      <c r="V30" s="287">
        <f>'9. Double Promote Waterfall #2'!R6</f>
        <v>1</v>
      </c>
      <c r="W30" s="299"/>
    </row>
    <row r="31" spans="2:23" x14ac:dyDescent="0.4">
      <c r="B31" s="319" t="s">
        <v>79</v>
      </c>
      <c r="C31" s="40"/>
      <c r="D31" s="320">
        <f>'9. Double Promote Waterfall #2'!E61+'9. Double Promote Waterfall #2'!E62</f>
        <v>17460.348686632751</v>
      </c>
      <c r="E31" s="40"/>
      <c r="F31" s="321">
        <f t="shared" si="3"/>
        <v>0.35</v>
      </c>
      <c r="G31" s="40"/>
      <c r="H31" s="320">
        <f>'9. Double Promote Waterfall #2'!E60</f>
        <v>32426.361846603686</v>
      </c>
      <c r="I31" s="40"/>
      <c r="J31" s="321">
        <f t="shared" si="4"/>
        <v>0.65</v>
      </c>
      <c r="K31" s="40"/>
      <c r="L31" s="322">
        <f t="shared" si="5"/>
        <v>49886.710533236437</v>
      </c>
      <c r="N31" s="39" t="str">
        <f>'9. Double Promote Waterfall #2'!I7</f>
        <v>Tier 3</v>
      </c>
      <c r="O31" s="39" t="str">
        <f>'9. Double Promote Waterfall #2'!J7</f>
        <v>Above</v>
      </c>
      <c r="P31" s="287">
        <f>'9. Double Promote Waterfall #2'!K7</f>
        <v>0.18</v>
      </c>
      <c r="Q31" s="39" t="str">
        <f>'9. Double Promote Waterfall #2'!L7</f>
        <v>through</v>
      </c>
      <c r="R31" s="299">
        <f>'9. Double Promote Waterfall #2'!M7</f>
        <v>0.2</v>
      </c>
      <c r="S31" s="287">
        <f>'9. Double Promote Waterfall #2'!O7</f>
        <v>0.25</v>
      </c>
      <c r="T31" s="287">
        <f>'9. Double Promote Waterfall #2'!N7</f>
        <v>0.1</v>
      </c>
      <c r="U31" s="287">
        <f>'9. Double Promote Waterfall #2'!Q7</f>
        <v>0.65</v>
      </c>
      <c r="V31" s="287">
        <f>'9. Double Promote Waterfall #2'!R7</f>
        <v>1</v>
      </c>
      <c r="W31" s="299"/>
    </row>
    <row r="32" spans="2:23" x14ac:dyDescent="0.4">
      <c r="B32" s="319" t="s">
        <v>113</v>
      </c>
      <c r="C32" s="40"/>
      <c r="D32" s="320">
        <f>'9. Double Promote Waterfall #2'!E77+'9. Double Promote Waterfall #2'!E78</f>
        <v>26494.725273758086</v>
      </c>
      <c r="E32" s="40"/>
      <c r="F32" s="321">
        <f t="shared" si="3"/>
        <v>0.44999999999999996</v>
      </c>
      <c r="G32" s="40"/>
      <c r="H32" s="320">
        <f>'9. Double Promote Waterfall #2'!E76</f>
        <v>32382.442001259886</v>
      </c>
      <c r="I32" s="40"/>
      <c r="J32" s="321">
        <f t="shared" si="4"/>
        <v>0.55000000000000004</v>
      </c>
      <c r="K32" s="40"/>
      <c r="L32" s="322">
        <f t="shared" si="5"/>
        <v>58877.167275017971</v>
      </c>
      <c r="N32" s="39" t="str">
        <f>'9. Double Promote Waterfall #2'!I8</f>
        <v>Tier 4</v>
      </c>
      <c r="O32" s="39" t="str">
        <f>'9. Double Promote Waterfall #2'!J8</f>
        <v>Above</v>
      </c>
      <c r="P32" s="287">
        <f>'9. Double Promote Waterfall #2'!K8</f>
        <v>0.2</v>
      </c>
      <c r="Q32" s="39" t="str">
        <f>'9. Double Promote Waterfall #2'!L8</f>
        <v>through</v>
      </c>
      <c r="R32" s="299">
        <f>'9. Double Promote Waterfall #2'!M8</f>
        <v>0.22</v>
      </c>
      <c r="S32" s="287">
        <f>'9. Double Promote Waterfall #2'!O8</f>
        <v>0.35</v>
      </c>
      <c r="T32" s="287">
        <f>'9. Double Promote Waterfall #2'!N8</f>
        <v>0.1</v>
      </c>
      <c r="U32" s="287">
        <f>'9. Double Promote Waterfall #2'!Q8</f>
        <v>0.55000000000000004</v>
      </c>
      <c r="V32" s="287">
        <f>'9. Double Promote Waterfall #2'!R8</f>
        <v>1</v>
      </c>
      <c r="W32" s="299"/>
    </row>
    <row r="33" spans="2:23" x14ac:dyDescent="0.4">
      <c r="B33" s="319" t="s">
        <v>114</v>
      </c>
      <c r="C33" s="40"/>
      <c r="D33" s="323">
        <f>'9. Double Promote Waterfall #2'!E84+'9. Double Promote Waterfall #2'!E85</f>
        <v>6149185.2615043269</v>
      </c>
      <c r="E33" s="247"/>
      <c r="F33" s="321">
        <f t="shared" si="3"/>
        <v>0.6</v>
      </c>
      <c r="G33" s="247"/>
      <c r="H33" s="323">
        <f>'9. Double Promote Waterfall #2'!E83</f>
        <v>4099456.8410028848</v>
      </c>
      <c r="I33" s="247"/>
      <c r="J33" s="321">
        <f t="shared" si="4"/>
        <v>0.4</v>
      </c>
      <c r="K33" s="247"/>
      <c r="L33" s="324">
        <f t="shared" si="5"/>
        <v>10248642.102507211</v>
      </c>
      <c r="N33" s="39" t="str">
        <f>'9. Double Promote Waterfall #2'!I9</f>
        <v>Tier 5</v>
      </c>
      <c r="P33" s="299"/>
      <c r="Q33" s="39" t="str">
        <f>'9. Double Promote Waterfall #2'!L9</f>
        <v>Above</v>
      </c>
      <c r="R33" s="299">
        <f>'9. Double Promote Waterfall #2'!M9</f>
        <v>0.22</v>
      </c>
      <c r="S33" s="287">
        <f>'9. Double Promote Waterfall #2'!O9</f>
        <v>0.5</v>
      </c>
      <c r="T33" s="287">
        <f>'9. Double Promote Waterfall #2'!N9</f>
        <v>0.1</v>
      </c>
      <c r="U33" s="287">
        <f>'9. Double Promote Waterfall #2'!Q9</f>
        <v>0.4</v>
      </c>
      <c r="V33" s="287">
        <f>'9. Double Promote Waterfall #2'!R9</f>
        <v>1</v>
      </c>
      <c r="W33" s="299"/>
    </row>
    <row r="34" spans="2:23" x14ac:dyDescent="0.4">
      <c r="B34" s="325" t="s">
        <v>0</v>
      </c>
      <c r="C34" s="40"/>
      <c r="D34" s="327">
        <f>SUM(D29:D33)</f>
        <v>6439350.6489209905</v>
      </c>
      <c r="E34" s="326"/>
      <c r="F34" s="328">
        <f t="shared" si="3"/>
        <v>0.50713248738648986</v>
      </c>
      <c r="G34" s="326"/>
      <c r="H34" s="327">
        <f>SUM(H29:H33)</f>
        <v>6258220.1221929276</v>
      </c>
      <c r="I34" s="326"/>
      <c r="J34" s="328">
        <f t="shared" si="4"/>
        <v>0.49286751261351025</v>
      </c>
      <c r="K34" s="326"/>
      <c r="L34" s="329">
        <f t="shared" si="5"/>
        <v>12697570.771113917</v>
      </c>
    </row>
    <row r="35" spans="2:23" x14ac:dyDescent="0.4">
      <c r="B35" s="337"/>
      <c r="C35" s="40"/>
      <c r="D35" s="320"/>
      <c r="E35" s="40"/>
      <c r="F35" s="40"/>
      <c r="G35" s="40"/>
      <c r="H35" s="40"/>
      <c r="I35" s="40"/>
      <c r="J35" s="321"/>
      <c r="K35" s="40"/>
      <c r="L35" s="322"/>
    </row>
    <row r="36" spans="2:23" x14ac:dyDescent="0.4">
      <c r="B36" s="331" t="s">
        <v>151</v>
      </c>
      <c r="C36" s="40"/>
      <c r="D36" s="327">
        <f>-'9. Double Promote Waterfall #2'!E5</f>
        <v>-200000</v>
      </c>
      <c r="E36" s="326"/>
      <c r="F36" s="328">
        <f>D36/L36</f>
        <v>0.1</v>
      </c>
      <c r="G36" s="326"/>
      <c r="H36" s="327">
        <f>-'9. Double Promote Waterfall #2'!E6</f>
        <v>-1800000</v>
      </c>
      <c r="I36" s="326"/>
      <c r="J36" s="328">
        <f>H36/L36</f>
        <v>0.9</v>
      </c>
      <c r="K36" s="326"/>
      <c r="L36" s="329">
        <f>D36+H36</f>
        <v>-2000000</v>
      </c>
    </row>
    <row r="37" spans="2:23" x14ac:dyDescent="0.4">
      <c r="B37" s="332" t="s">
        <v>142</v>
      </c>
      <c r="C37" s="247"/>
      <c r="D37" s="334">
        <f>SUM(D34:D36)</f>
        <v>6239350.6489209905</v>
      </c>
      <c r="E37" s="333"/>
      <c r="F37" s="335">
        <f>D37/L37</f>
        <v>0.58324929859485275</v>
      </c>
      <c r="G37" s="333"/>
      <c r="H37" s="334">
        <f>SUM(H34:H36)</f>
        <v>4458220.1221929276</v>
      </c>
      <c r="I37" s="333"/>
      <c r="J37" s="335">
        <f>H37/L37</f>
        <v>0.41675070140514731</v>
      </c>
      <c r="K37" s="333"/>
      <c r="L37" s="336">
        <f>SUM(L34:L36)</f>
        <v>10697570.771113917</v>
      </c>
    </row>
    <row r="39" spans="2:23" x14ac:dyDescent="0.4">
      <c r="J39" s="338" t="s">
        <v>154</v>
      </c>
      <c r="K39" s="245"/>
      <c r="L39" s="339">
        <f>'7. Double Promote Waterfall #1'!C109</f>
        <v>0</v>
      </c>
      <c r="N39" s="227"/>
    </row>
    <row r="40" spans="2:23" x14ac:dyDescent="0.4">
      <c r="J40" s="246" t="s">
        <v>155</v>
      </c>
      <c r="K40" s="247"/>
      <c r="L40" s="340">
        <f>'9. Double Promote Waterfall #2'!C115</f>
        <v>0</v>
      </c>
    </row>
    <row r="41" spans="2:23" x14ac:dyDescent="0.4">
      <c r="N41" s="227"/>
    </row>
  </sheetData>
  <mergeCells count="2">
    <mergeCell ref="O16:R16"/>
    <mergeCell ref="O28:R28"/>
  </mergeCells>
  <pageMargins left="0.28000000000000003" right="0.23" top="0.49" bottom="0.42" header="0.3" footer="0.3"/>
  <pageSetup scale="40" orientation="landscape" verticalDpi="1200" r:id="rId1"/>
  <headerFooter>
    <oddFooter>&amp;L&amp;"Garamond,Regular"&amp;12Copyright 2009 Real Estate Financial Modeling, LLC. All rights reserved.&amp;R&amp;"Garamond,Regular"&amp;12Tab: &amp;A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FN88"/>
  <sheetViews>
    <sheetView zoomScale="110" zoomScaleNormal="110" zoomScaleSheetLayoutView="100" workbookViewId="0"/>
  </sheetViews>
  <sheetFormatPr defaultColWidth="9" defaultRowHeight="13" x14ac:dyDescent="0.3"/>
  <cols>
    <col min="1" max="1" width="13.84375" style="117" customWidth="1"/>
    <col min="2" max="2" width="35.84375" style="117" customWidth="1"/>
    <col min="3" max="3" width="11.84375" style="117" customWidth="1"/>
    <col min="4" max="4" width="11.15234375" style="117" customWidth="1"/>
    <col min="5" max="5" width="21" style="117" customWidth="1"/>
    <col min="6" max="6" width="2.3828125" style="117" customWidth="1"/>
    <col min="7" max="7" width="3.3828125" style="117" customWidth="1"/>
    <col min="8" max="8" width="13.23046875" style="117" customWidth="1" collapsed="1"/>
    <col min="9" max="19" width="13.23046875" style="117" customWidth="1"/>
    <col min="20" max="20" width="9" style="117"/>
    <col min="21" max="21" width="9.23046875" style="117" bestFit="1" customWidth="1"/>
    <col min="22" max="16384" width="9" style="117"/>
  </cols>
  <sheetData>
    <row r="1" spans="2:19" ht="33" customHeight="1" x14ac:dyDescent="0.4">
      <c r="B1" s="119" t="s">
        <v>156</v>
      </c>
    </row>
    <row r="2" spans="2:19" ht="17" x14ac:dyDescent="0.4">
      <c r="B2" s="120" t="s">
        <v>263</v>
      </c>
      <c r="N2" s="248"/>
      <c r="O2" s="248"/>
    </row>
    <row r="3" spans="2:19" ht="17" x14ac:dyDescent="0.4">
      <c r="B3" s="120"/>
      <c r="N3" s="248"/>
      <c r="O3" s="248"/>
    </row>
    <row r="4" spans="2:19" ht="16" thickBot="1" x14ac:dyDescent="0.4">
      <c r="B4" s="121"/>
      <c r="I4" s="249" t="s">
        <v>115</v>
      </c>
      <c r="N4" s="248"/>
      <c r="O4" s="248"/>
    </row>
    <row r="5" spans="2:19" ht="28.5" customHeight="1" x14ac:dyDescent="0.45">
      <c r="B5" s="122" t="s">
        <v>73</v>
      </c>
      <c r="C5" s="123" t="s">
        <v>74</v>
      </c>
      <c r="D5" s="123"/>
      <c r="E5" s="123" t="s">
        <v>75</v>
      </c>
      <c r="F5" s="124"/>
      <c r="G5" s="124"/>
      <c r="H5" s="124"/>
      <c r="I5" s="250"/>
      <c r="J5" s="444" t="s">
        <v>116</v>
      </c>
      <c r="K5" s="444"/>
      <c r="L5" s="444"/>
      <c r="M5" s="444"/>
      <c r="N5" s="251" t="s">
        <v>119</v>
      </c>
      <c r="O5" s="252" t="s">
        <v>9</v>
      </c>
      <c r="P5" s="251" t="s">
        <v>193</v>
      </c>
      <c r="Q5" s="251" t="s">
        <v>108</v>
      </c>
      <c r="R5" s="253" t="s">
        <v>109</v>
      </c>
    </row>
    <row r="6" spans="2:19" x14ac:dyDescent="0.3">
      <c r="B6" s="125" t="s">
        <v>221</v>
      </c>
      <c r="C6" s="254">
        <v>0.1</v>
      </c>
      <c r="D6" s="126"/>
      <c r="E6" s="255">
        <v>2000000</v>
      </c>
      <c r="F6" s="127"/>
      <c r="G6" s="127"/>
      <c r="H6" s="127"/>
      <c r="I6" s="256" t="s">
        <v>57</v>
      </c>
      <c r="J6" s="257" t="s">
        <v>110</v>
      </c>
      <c r="K6" s="258">
        <v>0</v>
      </c>
      <c r="L6" s="259" t="s">
        <v>111</v>
      </c>
      <c r="M6" s="260">
        <v>0.1</v>
      </c>
      <c r="N6" s="261">
        <f>$C$6</f>
        <v>0.1</v>
      </c>
      <c r="O6" s="262">
        <v>0</v>
      </c>
      <c r="P6" s="261">
        <f>SUM(N6:O6)</f>
        <v>0.1</v>
      </c>
      <c r="Q6" s="261">
        <f>1-P6</f>
        <v>0.9</v>
      </c>
      <c r="R6" s="263">
        <f>SUM(P6:Q6)</f>
        <v>1</v>
      </c>
    </row>
    <row r="7" spans="2:19" x14ac:dyDescent="0.3">
      <c r="B7" s="128" t="s">
        <v>76</v>
      </c>
      <c r="C7" s="264">
        <v>0.9</v>
      </c>
      <c r="D7" s="129"/>
      <c r="E7" s="265">
        <v>18000000</v>
      </c>
      <c r="F7" s="127"/>
      <c r="G7" s="127"/>
      <c r="H7" s="127"/>
      <c r="I7" s="256" t="s">
        <v>65</v>
      </c>
      <c r="J7" s="257" t="s">
        <v>112</v>
      </c>
      <c r="K7" s="258">
        <f>M6</f>
        <v>0.1</v>
      </c>
      <c r="L7" s="259" t="s">
        <v>111</v>
      </c>
      <c r="M7" s="260">
        <v>0.15</v>
      </c>
      <c r="N7" s="261">
        <f>$C$6</f>
        <v>0.1</v>
      </c>
      <c r="O7" s="262">
        <v>0.1</v>
      </c>
      <c r="P7" s="261">
        <f>SUM(N7:O7)</f>
        <v>0.2</v>
      </c>
      <c r="Q7" s="261">
        <f>1-P7</f>
        <v>0.8</v>
      </c>
      <c r="R7" s="263">
        <f>SUM(P7:Q7)</f>
        <v>1</v>
      </c>
    </row>
    <row r="8" spans="2:19" x14ac:dyDescent="0.3">
      <c r="B8" s="130" t="s">
        <v>77</v>
      </c>
      <c r="C8" s="131">
        <v>1</v>
      </c>
      <c r="D8" s="132"/>
      <c r="E8" s="133">
        <f>SUM(E6:E7)</f>
        <v>20000000</v>
      </c>
      <c r="F8" s="127"/>
      <c r="G8" s="127"/>
      <c r="H8" s="127"/>
      <c r="I8" s="256" t="s">
        <v>79</v>
      </c>
      <c r="J8" s="257" t="s">
        <v>112</v>
      </c>
      <c r="K8" s="258">
        <f>M7</f>
        <v>0.15</v>
      </c>
      <c r="L8" s="259" t="s">
        <v>111</v>
      </c>
      <c r="M8" s="260">
        <v>0.2</v>
      </c>
      <c r="N8" s="261">
        <f>$C$6</f>
        <v>0.1</v>
      </c>
      <c r="O8" s="262">
        <v>0.2</v>
      </c>
      <c r="P8" s="261">
        <f>SUM(N8:O8)</f>
        <v>0.30000000000000004</v>
      </c>
      <c r="Q8" s="261">
        <f>1-P8</f>
        <v>0.7</v>
      </c>
      <c r="R8" s="263">
        <f>SUM(P8:Q8)</f>
        <v>1</v>
      </c>
    </row>
    <row r="9" spans="2:19" x14ac:dyDescent="0.3">
      <c r="F9" s="127"/>
      <c r="G9" s="127"/>
      <c r="H9" s="127"/>
      <c r="I9" s="256" t="s">
        <v>113</v>
      </c>
      <c r="J9" s="257" t="s">
        <v>112</v>
      </c>
      <c r="K9" s="258">
        <f>M8</f>
        <v>0.2</v>
      </c>
      <c r="L9" s="259" t="s">
        <v>111</v>
      </c>
      <c r="M9" s="260">
        <v>0.25</v>
      </c>
      <c r="N9" s="261">
        <f>$C$6</f>
        <v>0.1</v>
      </c>
      <c r="O9" s="262">
        <v>0.3</v>
      </c>
      <c r="P9" s="261">
        <f>SUM(N9:O9)</f>
        <v>0.4</v>
      </c>
      <c r="Q9" s="261">
        <f>1-P9</f>
        <v>0.6</v>
      </c>
      <c r="R9" s="263">
        <f>SUM(P9:Q9)</f>
        <v>1</v>
      </c>
    </row>
    <row r="10" spans="2:19" ht="13.5" thickBot="1" x14ac:dyDescent="0.35">
      <c r="B10" s="117" t="s">
        <v>78</v>
      </c>
      <c r="F10" s="127"/>
      <c r="G10" s="127"/>
      <c r="H10" s="127"/>
      <c r="I10" s="266" t="s">
        <v>114</v>
      </c>
      <c r="J10" s="267"/>
      <c r="K10" s="267"/>
      <c r="L10" s="268" t="s">
        <v>112</v>
      </c>
      <c r="M10" s="269">
        <v>0.25</v>
      </c>
      <c r="N10" s="270">
        <f>$C$6</f>
        <v>0.1</v>
      </c>
      <c r="O10" s="271">
        <v>0.5</v>
      </c>
      <c r="P10" s="270">
        <f>SUM(N10:O10)</f>
        <v>0.6</v>
      </c>
      <c r="Q10" s="270">
        <f>1-P10</f>
        <v>0.4</v>
      </c>
      <c r="R10" s="272">
        <f>SUM(P10:Q10)</f>
        <v>1</v>
      </c>
    </row>
    <row r="11" spans="2:19" ht="127.5" customHeight="1" x14ac:dyDescent="0.3">
      <c r="B11" s="445" t="s">
        <v>222</v>
      </c>
      <c r="C11" s="445"/>
      <c r="D11" s="445"/>
      <c r="E11" s="420"/>
      <c r="F11" s="420"/>
      <c r="N11" s="248"/>
      <c r="O11" s="248"/>
    </row>
    <row r="12" spans="2:19" x14ac:dyDescent="0.3">
      <c r="E12" s="421"/>
      <c r="F12" s="134"/>
      <c r="G12" s="134"/>
      <c r="H12" s="134"/>
      <c r="I12" s="134"/>
      <c r="J12" s="134"/>
      <c r="K12" s="274"/>
      <c r="L12" s="274"/>
      <c r="M12" s="274"/>
      <c r="N12" s="274"/>
      <c r="O12" s="274"/>
      <c r="P12" s="274"/>
      <c r="Q12" s="274"/>
      <c r="R12" s="274"/>
      <c r="S12" s="274"/>
    </row>
    <row r="13" spans="2:19" x14ac:dyDescent="0.3">
      <c r="E13" s="421"/>
      <c r="F13" s="134"/>
      <c r="G13" s="134"/>
      <c r="H13" s="134"/>
      <c r="I13" s="134"/>
      <c r="J13" s="134"/>
      <c r="K13" s="274"/>
      <c r="L13" s="274"/>
      <c r="M13" s="274"/>
      <c r="N13" s="274"/>
      <c r="O13" s="274"/>
      <c r="P13" s="274"/>
      <c r="Q13" s="274"/>
      <c r="R13" s="274"/>
      <c r="S13" s="274"/>
    </row>
    <row r="14" spans="2:19" x14ac:dyDescent="0.3">
      <c r="B14" s="117" t="s">
        <v>68</v>
      </c>
      <c r="E14" s="137">
        <f>SUM(H14:S14)</f>
        <v>-20000000</v>
      </c>
      <c r="F14" s="138"/>
      <c r="G14" s="138"/>
      <c r="H14" s="118">
        <f>IF(H16&lt;0,H16,0)</f>
        <v>-2000000</v>
      </c>
      <c r="I14" s="118">
        <f t="shared" ref="I14:S14" si="0">IF(I16&lt;0,I16,0)</f>
        <v>-2500000</v>
      </c>
      <c r="J14" s="118">
        <f t="shared" si="0"/>
        <v>-10000000</v>
      </c>
      <c r="K14" s="118">
        <v>-2000000</v>
      </c>
      <c r="L14" s="118">
        <v>-3000000</v>
      </c>
      <c r="M14" s="118">
        <v>-400000</v>
      </c>
      <c r="N14" s="118">
        <f t="shared" si="0"/>
        <v>-100000</v>
      </c>
      <c r="O14" s="118">
        <f t="shared" si="0"/>
        <v>0</v>
      </c>
      <c r="P14" s="118">
        <f t="shared" si="0"/>
        <v>0</v>
      </c>
      <c r="Q14" s="118">
        <f t="shared" si="0"/>
        <v>0</v>
      </c>
      <c r="R14" s="118">
        <f t="shared" si="0"/>
        <v>0</v>
      </c>
      <c r="S14" s="118">
        <f t="shared" si="0"/>
        <v>0</v>
      </c>
    </row>
    <row r="15" spans="2:19" x14ac:dyDescent="0.3">
      <c r="B15" s="117" t="s">
        <v>69</v>
      </c>
      <c r="E15" s="140">
        <f>SUM(H15:S15)</f>
        <v>40300000</v>
      </c>
      <c r="F15" s="141"/>
      <c r="G15" s="141"/>
      <c r="H15" s="142">
        <f t="shared" ref="H15:S15" si="1">IF(H16&gt;0,H16,0)</f>
        <v>0</v>
      </c>
      <c r="I15" s="142">
        <f t="shared" si="1"/>
        <v>0</v>
      </c>
      <c r="J15" s="142">
        <f t="shared" si="1"/>
        <v>0</v>
      </c>
      <c r="K15" s="142">
        <f t="shared" si="1"/>
        <v>0</v>
      </c>
      <c r="L15" s="142">
        <f t="shared" si="1"/>
        <v>0</v>
      </c>
      <c r="M15" s="142">
        <f t="shared" si="1"/>
        <v>0</v>
      </c>
      <c r="N15" s="142">
        <f t="shared" si="1"/>
        <v>0</v>
      </c>
      <c r="O15" s="142">
        <v>75000</v>
      </c>
      <c r="P15" s="142">
        <v>75000</v>
      </c>
      <c r="Q15" s="142">
        <v>75000</v>
      </c>
      <c r="R15" s="142">
        <v>75000</v>
      </c>
      <c r="S15" s="142">
        <f t="shared" si="1"/>
        <v>40000000</v>
      </c>
    </row>
    <row r="16" spans="2:19" x14ac:dyDescent="0.3">
      <c r="B16" s="130" t="s">
        <v>70</v>
      </c>
      <c r="C16" s="143"/>
      <c r="D16" s="143"/>
      <c r="E16" s="137">
        <f>SUM(H16:S16)</f>
        <v>20300000</v>
      </c>
      <c r="F16" s="137"/>
      <c r="G16" s="137"/>
      <c r="H16" s="144">
        <v>-2000000</v>
      </c>
      <c r="I16" s="144">
        <v>-2500000</v>
      </c>
      <c r="J16" s="144">
        <v>-10000000</v>
      </c>
      <c r="K16" s="144">
        <v>-2000000</v>
      </c>
      <c r="L16" s="144">
        <v>-3000000</v>
      </c>
      <c r="M16" s="144">
        <v>-400000</v>
      </c>
      <c r="N16" s="144">
        <v>-100000</v>
      </c>
      <c r="O16" s="144">
        <v>75000</v>
      </c>
      <c r="P16" s="144">
        <v>75000</v>
      </c>
      <c r="Q16" s="144">
        <v>75000</v>
      </c>
      <c r="R16" s="144">
        <v>75000</v>
      </c>
      <c r="S16" s="144">
        <v>40000000</v>
      </c>
    </row>
    <row r="17" spans="1:170" x14ac:dyDescent="0.3">
      <c r="B17" s="145"/>
      <c r="E17" s="138"/>
      <c r="F17" s="138"/>
      <c r="G17" s="138"/>
      <c r="H17" s="118"/>
      <c r="I17" s="118"/>
      <c r="J17" s="118"/>
      <c r="K17" s="118"/>
      <c r="L17" s="118"/>
      <c r="M17" s="118"/>
      <c r="N17" s="118"/>
      <c r="O17" s="118"/>
      <c r="P17" s="118"/>
      <c r="Q17" s="118"/>
      <c r="R17" s="118"/>
      <c r="S17" s="11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row>
    <row r="18" spans="1:170" x14ac:dyDescent="0.3">
      <c r="B18" s="146" t="s">
        <v>71</v>
      </c>
      <c r="E18" s="137">
        <f>SUM(H18:S18)</f>
        <v>-18000000</v>
      </c>
      <c r="F18" s="138"/>
      <c r="G18" s="138"/>
      <c r="H18" s="138">
        <v>0</v>
      </c>
      <c r="I18" s="138">
        <v>-2500000</v>
      </c>
      <c r="J18" s="138">
        <v>-10000000</v>
      </c>
      <c r="K18" s="138">
        <v>-2000000</v>
      </c>
      <c r="L18" s="138">
        <v>-3000000</v>
      </c>
      <c r="M18" s="138">
        <v>-400000</v>
      </c>
      <c r="N18" s="138">
        <v>-100000</v>
      </c>
      <c r="O18" s="138">
        <v>0</v>
      </c>
      <c r="P18" s="138">
        <v>0</v>
      </c>
      <c r="Q18" s="138">
        <v>0</v>
      </c>
      <c r="R18" s="138">
        <v>0</v>
      </c>
      <c r="S18" s="138">
        <v>0</v>
      </c>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188"/>
      <c r="DJ18" s="188"/>
      <c r="DK18" s="188"/>
      <c r="DL18" s="188"/>
      <c r="DM18" s="188"/>
      <c r="DN18" s="188"/>
      <c r="DO18" s="188"/>
      <c r="DP18" s="188"/>
      <c r="DQ18" s="188"/>
      <c r="DR18" s="188"/>
      <c r="DS18" s="188"/>
      <c r="DT18" s="188"/>
      <c r="DU18" s="188"/>
      <c r="DV18" s="188"/>
      <c r="DW18" s="188"/>
      <c r="DX18" s="188"/>
      <c r="DY18" s="188"/>
      <c r="DZ18" s="188"/>
      <c r="EA18" s="188"/>
      <c r="EB18" s="188"/>
      <c r="EC18" s="188"/>
      <c r="ED18" s="188"/>
      <c r="EE18" s="188"/>
      <c r="EF18" s="188"/>
      <c r="EG18" s="188"/>
      <c r="EH18" s="188"/>
      <c r="EI18" s="188"/>
      <c r="EJ18" s="188"/>
      <c r="EK18" s="188"/>
      <c r="EL18" s="188"/>
      <c r="EM18" s="188"/>
      <c r="EN18" s="188"/>
      <c r="EO18" s="188"/>
      <c r="EP18" s="188"/>
      <c r="EQ18" s="188"/>
      <c r="ER18" s="188"/>
      <c r="ES18" s="188"/>
      <c r="ET18" s="188"/>
      <c r="EU18" s="188"/>
      <c r="EV18" s="188"/>
      <c r="EW18" s="188"/>
      <c r="EX18" s="188"/>
      <c r="EY18" s="188"/>
      <c r="EZ18" s="188"/>
      <c r="FA18" s="188"/>
      <c r="FB18" s="188"/>
      <c r="FC18" s="188"/>
      <c r="FD18" s="188"/>
      <c r="FE18" s="188"/>
      <c r="FF18" s="188"/>
      <c r="FG18" s="188"/>
      <c r="FH18" s="188"/>
      <c r="FI18" s="188"/>
      <c r="FJ18" s="188"/>
      <c r="FK18" s="188"/>
      <c r="FL18" s="188"/>
      <c r="FM18" s="188"/>
      <c r="FN18" s="188"/>
    </row>
    <row r="19" spans="1:170" x14ac:dyDescent="0.3">
      <c r="E19" s="421"/>
      <c r="F19" s="134"/>
      <c r="G19" s="134"/>
      <c r="H19" s="134"/>
      <c r="I19" s="134"/>
      <c r="J19" s="134"/>
      <c r="K19" s="274"/>
      <c r="L19" s="274"/>
      <c r="M19" s="274"/>
      <c r="N19" s="274"/>
      <c r="O19" s="274"/>
      <c r="P19" s="274"/>
      <c r="Q19" s="274"/>
      <c r="R19" s="274"/>
      <c r="S19" s="274"/>
    </row>
    <row r="20" spans="1:170" x14ac:dyDescent="0.3">
      <c r="E20" s="421"/>
      <c r="F20" s="134"/>
      <c r="G20" s="134"/>
      <c r="H20" s="134"/>
      <c r="I20" s="134"/>
      <c r="J20" s="134"/>
      <c r="K20" s="274"/>
      <c r="L20" s="274"/>
      <c r="M20" s="274"/>
      <c r="N20" s="274"/>
      <c r="O20" s="274"/>
      <c r="P20" s="274"/>
      <c r="Q20" s="274"/>
      <c r="R20" s="274"/>
      <c r="S20" s="274"/>
    </row>
    <row r="21" spans="1:170" x14ac:dyDescent="0.3">
      <c r="F21" s="134"/>
      <c r="G21" s="134"/>
      <c r="H21" s="134"/>
      <c r="I21" s="134"/>
      <c r="J21" s="134"/>
      <c r="K21" s="274"/>
      <c r="L21" s="274"/>
      <c r="M21" s="274"/>
      <c r="N21" s="274"/>
      <c r="O21" s="274"/>
      <c r="P21" s="274"/>
      <c r="Q21" s="274"/>
      <c r="R21" s="274"/>
      <c r="S21" s="274"/>
    </row>
    <row r="22" spans="1:170" ht="14.5" x14ac:dyDescent="0.35">
      <c r="B22" s="447" t="s">
        <v>260</v>
      </c>
      <c r="C22" s="448"/>
      <c r="D22" s="448"/>
      <c r="E22" s="448"/>
      <c r="F22" s="448"/>
      <c r="G22" s="449"/>
      <c r="H22" s="424">
        <v>40574</v>
      </c>
      <c r="I22" s="275">
        <f>EOMONTH(H22,1)</f>
        <v>40602</v>
      </c>
      <c r="J22" s="275">
        <f t="shared" ref="J22:S22" si="2">EOMONTH(I22,1)</f>
        <v>40633</v>
      </c>
      <c r="K22" s="275">
        <f t="shared" si="2"/>
        <v>40663</v>
      </c>
      <c r="L22" s="275">
        <f t="shared" si="2"/>
        <v>40694</v>
      </c>
      <c r="M22" s="275">
        <f t="shared" si="2"/>
        <v>40724</v>
      </c>
      <c r="N22" s="275">
        <f t="shared" si="2"/>
        <v>40755</v>
      </c>
      <c r="O22" s="275">
        <f t="shared" si="2"/>
        <v>40786</v>
      </c>
      <c r="P22" s="275">
        <f t="shared" si="2"/>
        <v>40816</v>
      </c>
      <c r="Q22" s="275">
        <f t="shared" si="2"/>
        <v>40847</v>
      </c>
      <c r="R22" s="275">
        <f t="shared" si="2"/>
        <v>40877</v>
      </c>
      <c r="S22" s="275">
        <f t="shared" si="2"/>
        <v>40908</v>
      </c>
    </row>
    <row r="23" spans="1:170" ht="14.5" x14ac:dyDescent="0.35">
      <c r="B23" s="450">
        <f>(1+$D$27)^(1/12)-1</f>
        <v>7.9741404289037643E-3</v>
      </c>
      <c r="C23" s="450"/>
      <c r="D23" s="450"/>
      <c r="E23" s="450"/>
      <c r="F23" s="450"/>
      <c r="G23" s="450"/>
      <c r="I23" s="422"/>
      <c r="J23" s="422"/>
      <c r="K23" s="422"/>
      <c r="L23" s="422"/>
      <c r="M23" s="422"/>
      <c r="N23" s="422"/>
      <c r="O23" s="422"/>
      <c r="P23" s="422"/>
      <c r="Q23" s="422"/>
      <c r="R23" s="422"/>
      <c r="S23" s="422"/>
    </row>
    <row r="24" spans="1:170" ht="14.5" x14ac:dyDescent="0.35">
      <c r="B24" s="451">
        <f>(1+B23)^12-1</f>
        <v>0.10000000000000031</v>
      </c>
      <c r="C24" s="451"/>
      <c r="D24" s="451"/>
      <c r="E24" s="451"/>
      <c r="F24" s="451"/>
      <c r="G24" s="451"/>
      <c r="O24" s="248"/>
    </row>
    <row r="25" spans="1:170" x14ac:dyDescent="0.3">
      <c r="B25" s="136"/>
      <c r="C25" s="423"/>
      <c r="O25" s="248"/>
    </row>
    <row r="26" spans="1:170" x14ac:dyDescent="0.3">
      <c r="B26" s="276"/>
      <c r="E26" s="138"/>
      <c r="F26" s="138"/>
      <c r="G26" s="138"/>
      <c r="H26" s="118"/>
      <c r="I26" s="118"/>
      <c r="J26" s="118"/>
      <c r="K26" s="118"/>
      <c r="L26" s="118"/>
      <c r="M26" s="118"/>
      <c r="N26" s="118"/>
      <c r="O26" s="118"/>
      <c r="P26" s="118"/>
      <c r="Q26" s="118"/>
      <c r="R26" s="118"/>
      <c r="S26" s="11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8"/>
      <c r="CE26" s="188"/>
      <c r="CF26" s="188"/>
      <c r="CG26" s="188"/>
      <c r="CH26" s="188"/>
      <c r="CI26" s="188"/>
      <c r="CJ26" s="188"/>
      <c r="CK26" s="188"/>
      <c r="CL26" s="188"/>
      <c r="CM26" s="188"/>
      <c r="CN26" s="188"/>
      <c r="CO26" s="188"/>
      <c r="CP26" s="188"/>
      <c r="CQ26" s="188"/>
      <c r="CR26" s="188"/>
      <c r="CS26" s="188"/>
      <c r="CT26" s="188"/>
      <c r="CU26" s="188"/>
      <c r="CV26" s="188"/>
      <c r="CW26" s="188"/>
      <c r="CX26" s="188"/>
      <c r="CY26" s="188"/>
      <c r="CZ26" s="188"/>
      <c r="DA26" s="188"/>
      <c r="DB26" s="188"/>
      <c r="DC26" s="188"/>
      <c r="DD26" s="188"/>
      <c r="DE26" s="188"/>
      <c r="DF26" s="188"/>
      <c r="DG26" s="188"/>
      <c r="DH26" s="188"/>
      <c r="DI26" s="188"/>
      <c r="DJ26" s="188"/>
      <c r="DK26" s="188"/>
      <c r="DL26" s="188"/>
      <c r="DM26" s="188"/>
      <c r="DN26" s="188"/>
      <c r="DO26" s="188"/>
      <c r="DP26" s="188"/>
      <c r="DQ26" s="188"/>
      <c r="DR26" s="188"/>
      <c r="DS26" s="188"/>
      <c r="DT26" s="188"/>
      <c r="DU26" s="188"/>
      <c r="DV26" s="188"/>
      <c r="DW26" s="188"/>
      <c r="DX26" s="188"/>
      <c r="DY26" s="188"/>
      <c r="DZ26" s="188"/>
      <c r="EA26" s="188"/>
      <c r="EB26" s="188"/>
      <c r="EC26" s="188"/>
      <c r="ED26" s="188"/>
      <c r="EE26" s="188"/>
      <c r="EF26" s="188"/>
      <c r="EG26" s="188"/>
      <c r="EH26" s="188"/>
      <c r="EI26" s="188"/>
      <c r="EJ26" s="188"/>
      <c r="EK26" s="188"/>
      <c r="EL26" s="188"/>
      <c r="EM26" s="188"/>
      <c r="EN26" s="188"/>
      <c r="EO26" s="188"/>
      <c r="EP26" s="188"/>
      <c r="EQ26" s="188"/>
      <c r="ER26" s="188"/>
      <c r="ES26" s="188"/>
      <c r="ET26" s="188"/>
      <c r="EU26" s="188"/>
      <c r="EV26" s="188"/>
      <c r="EW26" s="188"/>
      <c r="EX26" s="188"/>
      <c r="EY26" s="188"/>
      <c r="EZ26" s="188"/>
      <c r="FA26" s="188"/>
      <c r="FB26" s="188"/>
      <c r="FC26" s="188"/>
      <c r="FD26" s="188"/>
      <c r="FE26" s="188"/>
      <c r="FF26" s="188"/>
      <c r="FG26" s="188"/>
      <c r="FH26" s="188"/>
      <c r="FI26" s="188"/>
      <c r="FJ26" s="188"/>
      <c r="FK26" s="188"/>
      <c r="FL26" s="188"/>
      <c r="FM26" s="188"/>
      <c r="FN26" s="188"/>
    </row>
    <row r="27" spans="1:170" x14ac:dyDescent="0.3">
      <c r="A27" s="357" t="s">
        <v>162</v>
      </c>
      <c r="B27" s="111" t="s">
        <v>268</v>
      </c>
      <c r="C27" s="148" t="s">
        <v>72</v>
      </c>
      <c r="D27" s="431">
        <f>$M$6</f>
        <v>0.1</v>
      </c>
      <c r="E27" s="421" t="s">
        <v>67</v>
      </c>
      <c r="F27" s="149"/>
      <c r="G27" s="149"/>
      <c r="H27" s="155"/>
      <c r="I27" s="155"/>
      <c r="J27" s="155"/>
      <c r="K27" s="155"/>
      <c r="L27" s="155"/>
      <c r="M27" s="155"/>
      <c r="N27" s="155"/>
      <c r="O27" s="155"/>
      <c r="P27" s="155"/>
      <c r="Q27" s="155"/>
      <c r="R27" s="155"/>
      <c r="S27" s="155"/>
    </row>
    <row r="28" spans="1:170" x14ac:dyDescent="0.3">
      <c r="A28" s="358" t="s">
        <v>163</v>
      </c>
      <c r="B28" s="113" t="s">
        <v>58</v>
      </c>
      <c r="C28" s="150"/>
      <c r="D28" s="150"/>
      <c r="E28" s="151"/>
      <c r="F28" s="151"/>
      <c r="G28" s="151"/>
      <c r="H28" s="152">
        <f>+G32</f>
        <v>0</v>
      </c>
      <c r="I28" s="152">
        <f>+H32</f>
        <v>0</v>
      </c>
      <c r="J28" s="152">
        <f>+I32</f>
        <v>2500000</v>
      </c>
      <c r="K28" s="152">
        <f>+J32</f>
        <v>12519935.351072259</v>
      </c>
      <c r="L28" s="152">
        <f>+K32</f>
        <v>14619771.073722506</v>
      </c>
      <c r="M28" s="152">
        <f t="shared" ref="M28:S28" si="3">+L32</f>
        <v>17736351.181302793</v>
      </c>
      <c r="N28" s="152">
        <f t="shared" si="3"/>
        <v>18277783.336318854</v>
      </c>
      <c r="O28" s="152">
        <f t="shared" si="3"/>
        <v>18523532.947371736</v>
      </c>
      <c r="P28" s="152">
        <f t="shared" si="3"/>
        <v>18603742.200333506</v>
      </c>
      <c r="Q28" s="152">
        <f t="shared" si="3"/>
        <v>18684591.053142089</v>
      </c>
      <c r="R28" s="152">
        <f t="shared" si="3"/>
        <v>18766084.606056482</v>
      </c>
      <c r="S28" s="212">
        <f t="shared" si="3"/>
        <v>18848228.000005864</v>
      </c>
    </row>
    <row r="29" spans="1:170" ht="13.5" x14ac:dyDescent="0.3">
      <c r="A29" s="112"/>
      <c r="B29" s="114" t="s">
        <v>59</v>
      </c>
      <c r="C29" s="153"/>
      <c r="D29" s="153"/>
      <c r="E29" s="154">
        <f>SUM(H29:S29)</f>
        <v>18000000</v>
      </c>
      <c r="F29" s="154"/>
      <c r="G29" s="154"/>
      <c r="H29" s="155">
        <f t="shared" ref="H29:S29" si="4">-H18</f>
        <v>0</v>
      </c>
      <c r="I29" s="155">
        <f t="shared" si="4"/>
        <v>2500000</v>
      </c>
      <c r="J29" s="155">
        <f t="shared" si="4"/>
        <v>10000000</v>
      </c>
      <c r="K29" s="155">
        <f t="shared" si="4"/>
        <v>2000000</v>
      </c>
      <c r="L29" s="155">
        <f t="shared" si="4"/>
        <v>3000000</v>
      </c>
      <c r="M29" s="155">
        <f t="shared" si="4"/>
        <v>400000</v>
      </c>
      <c r="N29" s="155">
        <f t="shared" si="4"/>
        <v>100000</v>
      </c>
      <c r="O29" s="155">
        <f t="shared" si="4"/>
        <v>0</v>
      </c>
      <c r="P29" s="155">
        <f t="shared" si="4"/>
        <v>0</v>
      </c>
      <c r="Q29" s="155">
        <f t="shared" si="4"/>
        <v>0</v>
      </c>
      <c r="R29" s="155">
        <f t="shared" si="4"/>
        <v>0</v>
      </c>
      <c r="S29" s="213">
        <f t="shared" si="4"/>
        <v>0</v>
      </c>
    </row>
    <row r="30" spans="1:170" ht="13.5" x14ac:dyDescent="0.3">
      <c r="A30" s="112"/>
      <c r="B30" s="114" t="s">
        <v>60</v>
      </c>
      <c r="C30" s="153"/>
      <c r="D30" s="153"/>
      <c r="E30" s="154">
        <f>SUM(H30:S30)</f>
        <v>1268526.4169139105</v>
      </c>
      <c r="F30" s="154"/>
      <c r="G30" s="154"/>
      <c r="H30" s="155">
        <f>+H28*((1+$B$23)-1)</f>
        <v>0</v>
      </c>
      <c r="I30" s="155">
        <f>+I28*((1+$B$23)-1)</f>
        <v>0</v>
      </c>
      <c r="J30" s="155">
        <f t="shared" ref="J30:S30" si="5">+J28*((1+$B$23)-1)</f>
        <v>19935.351072259411</v>
      </c>
      <c r="K30" s="155">
        <f t="shared" si="5"/>
        <v>99835.722650246753</v>
      </c>
      <c r="L30" s="155">
        <f t="shared" si="5"/>
        <v>116580.10758028843</v>
      </c>
      <c r="M30" s="155">
        <f t="shared" si="5"/>
        <v>141432.15501606165</v>
      </c>
      <c r="N30" s="155">
        <f t="shared" si="5"/>
        <v>145749.6110528837</v>
      </c>
      <c r="O30" s="155">
        <f t="shared" si="5"/>
        <v>147709.25296176787</v>
      </c>
      <c r="P30" s="155">
        <f t="shared" si="5"/>
        <v>148348.85280858248</v>
      </c>
      <c r="Q30" s="155">
        <f t="shared" si="5"/>
        <v>148993.55291439389</v>
      </c>
      <c r="R30" s="155">
        <f t="shared" si="5"/>
        <v>149643.39394938355</v>
      </c>
      <c r="S30" s="213">
        <f t="shared" si="5"/>
        <v>150298.41690804271</v>
      </c>
    </row>
    <row r="31" spans="1:170" ht="13.5" x14ac:dyDescent="0.3">
      <c r="A31" s="112"/>
      <c r="B31" s="114" t="s">
        <v>61</v>
      </c>
      <c r="C31" s="153"/>
      <c r="D31" s="153"/>
      <c r="E31" s="140">
        <f>SUM(H31:S31)</f>
        <v>-19268526.416913908</v>
      </c>
      <c r="F31" s="140"/>
      <c r="G31" s="140"/>
      <c r="H31" s="142">
        <f t="shared" ref="H31:S31" si="6">MIN(0,MAX(-(H28+H29+H30),-$C$34*H16))</f>
        <v>0</v>
      </c>
      <c r="I31" s="142">
        <f t="shared" si="6"/>
        <v>0</v>
      </c>
      <c r="J31" s="142">
        <f t="shared" si="6"/>
        <v>0</v>
      </c>
      <c r="K31" s="142">
        <f t="shared" si="6"/>
        <v>0</v>
      </c>
      <c r="L31" s="142">
        <f t="shared" si="6"/>
        <v>0</v>
      </c>
      <c r="M31" s="142">
        <f t="shared" si="6"/>
        <v>0</v>
      </c>
      <c r="N31" s="142">
        <f t="shared" si="6"/>
        <v>0</v>
      </c>
      <c r="O31" s="142">
        <f t="shared" si="6"/>
        <v>-67500</v>
      </c>
      <c r="P31" s="142">
        <f t="shared" si="6"/>
        <v>-67500</v>
      </c>
      <c r="Q31" s="142">
        <f t="shared" si="6"/>
        <v>-67500</v>
      </c>
      <c r="R31" s="142">
        <f t="shared" si="6"/>
        <v>-67500</v>
      </c>
      <c r="S31" s="216">
        <f t="shared" si="6"/>
        <v>-18998526.416913908</v>
      </c>
    </row>
    <row r="32" spans="1:170" ht="13.5" x14ac:dyDescent="0.3">
      <c r="A32" s="112"/>
      <c r="B32" s="114" t="s">
        <v>62</v>
      </c>
      <c r="C32" s="153"/>
      <c r="D32" s="153"/>
      <c r="E32" s="154">
        <f>SUM(E29:E31)</f>
        <v>0</v>
      </c>
      <c r="F32" s="154"/>
      <c r="G32" s="277"/>
      <c r="H32" s="155">
        <f t="shared" ref="H32:S32" si="7">SUM(H28:H31)</f>
        <v>0</v>
      </c>
      <c r="I32" s="155">
        <f t="shared" si="7"/>
        <v>2500000</v>
      </c>
      <c r="J32" s="155">
        <f t="shared" si="7"/>
        <v>12519935.351072259</v>
      </c>
      <c r="K32" s="155">
        <f t="shared" si="7"/>
        <v>14619771.073722506</v>
      </c>
      <c r="L32" s="155">
        <f t="shared" si="7"/>
        <v>17736351.181302793</v>
      </c>
      <c r="M32" s="155">
        <f t="shared" si="7"/>
        <v>18277783.336318854</v>
      </c>
      <c r="N32" s="155">
        <f t="shared" si="7"/>
        <v>18523532.947371736</v>
      </c>
      <c r="O32" s="155">
        <f t="shared" si="7"/>
        <v>18603742.200333506</v>
      </c>
      <c r="P32" s="155">
        <f t="shared" si="7"/>
        <v>18684591.053142089</v>
      </c>
      <c r="Q32" s="155">
        <f t="shared" si="7"/>
        <v>18766084.606056482</v>
      </c>
      <c r="R32" s="155">
        <f t="shared" si="7"/>
        <v>18848228.000005864</v>
      </c>
      <c r="S32" s="213">
        <f t="shared" si="7"/>
        <v>0</v>
      </c>
    </row>
    <row r="33" spans="1:19" ht="13.5" x14ac:dyDescent="0.3">
      <c r="A33" s="112"/>
      <c r="B33" s="114"/>
      <c r="C33" s="153"/>
      <c r="D33" s="153"/>
      <c r="E33" s="157"/>
      <c r="F33" s="157"/>
      <c r="G33" s="157"/>
      <c r="H33" s="155"/>
      <c r="I33" s="155"/>
      <c r="J33" s="155"/>
      <c r="K33" s="155"/>
      <c r="L33" s="155"/>
      <c r="M33" s="155"/>
      <c r="N33" s="155"/>
      <c r="O33" s="155"/>
      <c r="P33" s="155"/>
      <c r="Q33" s="155"/>
      <c r="R33" s="155"/>
      <c r="S33" s="213"/>
    </row>
    <row r="34" spans="1:19" ht="13.5" x14ac:dyDescent="0.3">
      <c r="A34" s="112"/>
      <c r="B34" s="115" t="s">
        <v>63</v>
      </c>
      <c r="C34" s="158">
        <f>$Q$6</f>
        <v>0.9</v>
      </c>
      <c r="D34" s="158"/>
      <c r="E34" s="154">
        <f>+SUM(H34:S34)</f>
        <v>1268526.416913908</v>
      </c>
      <c r="F34" s="154"/>
      <c r="G34" s="154"/>
      <c r="H34" s="159">
        <f t="shared" ref="H34:S34" si="8">+MIN(-(H29+H31),H28+H30)</f>
        <v>0</v>
      </c>
      <c r="I34" s="159">
        <f t="shared" si="8"/>
        <v>-2500000</v>
      </c>
      <c r="J34" s="159">
        <f t="shared" si="8"/>
        <v>-10000000</v>
      </c>
      <c r="K34" s="159">
        <f t="shared" si="8"/>
        <v>-2000000</v>
      </c>
      <c r="L34" s="159">
        <f t="shared" si="8"/>
        <v>-3000000</v>
      </c>
      <c r="M34" s="159">
        <f t="shared" si="8"/>
        <v>-400000</v>
      </c>
      <c r="N34" s="159">
        <f t="shared" si="8"/>
        <v>-100000</v>
      </c>
      <c r="O34" s="159">
        <f t="shared" si="8"/>
        <v>67500</v>
      </c>
      <c r="P34" s="159">
        <f t="shared" si="8"/>
        <v>67500</v>
      </c>
      <c r="Q34" s="159">
        <f t="shared" si="8"/>
        <v>67500</v>
      </c>
      <c r="R34" s="159">
        <f t="shared" si="8"/>
        <v>67500</v>
      </c>
      <c r="S34" s="214">
        <f t="shared" si="8"/>
        <v>18998526.416913908</v>
      </c>
    </row>
    <row r="35" spans="1:19" ht="13.5" x14ac:dyDescent="0.3">
      <c r="A35" s="112"/>
      <c r="B35" s="115" t="s">
        <v>125</v>
      </c>
      <c r="C35" s="160">
        <f>$N$6</f>
        <v>0.1</v>
      </c>
      <c r="D35" s="160"/>
      <c r="E35" s="154">
        <f>+SUM(H35:S35)</f>
        <v>2140947.3796571009</v>
      </c>
      <c r="F35" s="161"/>
      <c r="G35" s="161"/>
      <c r="H35" s="159">
        <f>-H31/$C$34*$C$35</f>
        <v>0</v>
      </c>
      <c r="I35" s="159">
        <f>-I31/$C$34*$C$35</f>
        <v>0</v>
      </c>
      <c r="J35" s="159">
        <f>-J31/$C$34*$C$35</f>
        <v>0</v>
      </c>
      <c r="K35" s="159">
        <f>-K31/$C$34*$C$35</f>
        <v>0</v>
      </c>
      <c r="L35" s="159">
        <f>-L31/$C$34*$C$35</f>
        <v>0</v>
      </c>
      <c r="M35" s="159">
        <f t="shared" ref="M35:S35" si="9">-M31/$C$34*$C$35</f>
        <v>0</v>
      </c>
      <c r="N35" s="159">
        <f t="shared" si="9"/>
        <v>0</v>
      </c>
      <c r="O35" s="159">
        <f t="shared" si="9"/>
        <v>7500</v>
      </c>
      <c r="P35" s="159">
        <f t="shared" si="9"/>
        <v>7500</v>
      </c>
      <c r="Q35" s="159">
        <f t="shared" si="9"/>
        <v>7500</v>
      </c>
      <c r="R35" s="159">
        <f t="shared" si="9"/>
        <v>7500</v>
      </c>
      <c r="S35" s="214">
        <f t="shared" si="9"/>
        <v>2110947.3796571009</v>
      </c>
    </row>
    <row r="36" spans="1:19" ht="13.5" x14ac:dyDescent="0.3">
      <c r="A36" s="112"/>
      <c r="B36" s="115" t="s">
        <v>126</v>
      </c>
      <c r="C36" s="158">
        <f>$O$6</f>
        <v>0</v>
      </c>
      <c r="D36" s="158"/>
      <c r="E36" s="154">
        <f>+SUM(H36:S36)</f>
        <v>0</v>
      </c>
      <c r="F36" s="161"/>
      <c r="G36" s="161"/>
      <c r="H36" s="159">
        <f>-H31/$C$34*$C$36</f>
        <v>0</v>
      </c>
      <c r="I36" s="159">
        <f>-I31/$C$34*$C$36</f>
        <v>0</v>
      </c>
      <c r="J36" s="159">
        <f>-J31/$C$34*$C$36</f>
        <v>0</v>
      </c>
      <c r="K36" s="159">
        <f>-K31/$C$34*$C$36</f>
        <v>0</v>
      </c>
      <c r="L36" s="159">
        <f>-L31/$C$34*$C$36</f>
        <v>0</v>
      </c>
      <c r="M36" s="159">
        <f t="shared" ref="M36:S36" si="10">-M31/$C$34*$C$36</f>
        <v>0</v>
      </c>
      <c r="N36" s="159">
        <f t="shared" si="10"/>
        <v>0</v>
      </c>
      <c r="O36" s="159">
        <f t="shared" si="10"/>
        <v>0</v>
      </c>
      <c r="P36" s="159">
        <f t="shared" si="10"/>
        <v>0</v>
      </c>
      <c r="Q36" s="159">
        <f t="shared" si="10"/>
        <v>0</v>
      </c>
      <c r="R36" s="159">
        <f t="shared" si="10"/>
        <v>0</v>
      </c>
      <c r="S36" s="214">
        <f t="shared" si="10"/>
        <v>0</v>
      </c>
    </row>
    <row r="37" spans="1:19" ht="13.5" x14ac:dyDescent="0.3">
      <c r="A37" s="112"/>
      <c r="B37" s="115"/>
      <c r="C37" s="158"/>
      <c r="D37" s="158"/>
      <c r="E37" s="154"/>
      <c r="F37" s="161"/>
      <c r="G37" s="161"/>
      <c r="H37" s="159"/>
      <c r="I37" s="159"/>
      <c r="J37" s="159"/>
      <c r="K37" s="159"/>
      <c r="L37" s="159"/>
      <c r="M37" s="159"/>
      <c r="N37" s="159"/>
      <c r="O37" s="159"/>
      <c r="P37" s="159"/>
      <c r="Q37" s="159"/>
      <c r="R37" s="159"/>
      <c r="S37" s="214"/>
    </row>
    <row r="38" spans="1:19" ht="13.5" x14ac:dyDescent="0.3">
      <c r="A38" s="112"/>
      <c r="B38" s="116" t="s">
        <v>64</v>
      </c>
      <c r="C38" s="163"/>
      <c r="D38" s="163"/>
      <c r="E38" s="140">
        <f>+SUM(H38:S38)</f>
        <v>18890526.203428991</v>
      </c>
      <c r="F38" s="140"/>
      <c r="G38" s="140"/>
      <c r="H38" s="164">
        <f t="shared" ref="H38:S38" si="11">IF(H34&lt;0,0,H15-SUM(H34:H36))</f>
        <v>0</v>
      </c>
      <c r="I38" s="164">
        <f t="shared" si="11"/>
        <v>0</v>
      </c>
      <c r="J38" s="164">
        <f t="shared" si="11"/>
        <v>0</v>
      </c>
      <c r="K38" s="164">
        <f t="shared" si="11"/>
        <v>0</v>
      </c>
      <c r="L38" s="164">
        <f t="shared" si="11"/>
        <v>0</v>
      </c>
      <c r="M38" s="164">
        <f t="shared" si="11"/>
        <v>0</v>
      </c>
      <c r="N38" s="164">
        <f t="shared" si="11"/>
        <v>0</v>
      </c>
      <c r="O38" s="164">
        <f t="shared" si="11"/>
        <v>0</v>
      </c>
      <c r="P38" s="164">
        <f t="shared" si="11"/>
        <v>0</v>
      </c>
      <c r="Q38" s="164">
        <f t="shared" si="11"/>
        <v>0</v>
      </c>
      <c r="R38" s="164">
        <f t="shared" si="11"/>
        <v>0</v>
      </c>
      <c r="S38" s="215">
        <f t="shared" si="11"/>
        <v>18890526.203428991</v>
      </c>
    </row>
    <row r="39" spans="1:19" ht="13.5" x14ac:dyDescent="0.3">
      <c r="A39" s="112"/>
      <c r="C39" s="135"/>
      <c r="D39" s="135"/>
      <c r="E39" s="426"/>
      <c r="F39" s="138"/>
      <c r="G39" s="138"/>
      <c r="H39" s="118"/>
      <c r="I39" s="425"/>
      <c r="J39" s="425"/>
      <c r="K39" s="425"/>
      <c r="L39" s="425"/>
      <c r="M39" s="425"/>
      <c r="N39" s="425"/>
      <c r="O39" s="425"/>
      <c r="P39" s="425"/>
      <c r="Q39" s="425"/>
      <c r="R39" s="425"/>
      <c r="S39" s="425"/>
    </row>
    <row r="40" spans="1:19" x14ac:dyDescent="0.3">
      <c r="B40" s="148" t="s">
        <v>264</v>
      </c>
      <c r="C40" s="201">
        <f>(IRR(H40:S40)+1)^12-1</f>
        <v>9.9999999999997202E-2</v>
      </c>
      <c r="D40" s="200"/>
      <c r="F40" s="135"/>
      <c r="G40" s="135"/>
      <c r="H40" s="430">
        <f t="shared" ref="H40:S40" si="12">-(H29+H31)</f>
        <v>0</v>
      </c>
      <c r="I40" s="430">
        <f t="shared" si="12"/>
        <v>-2500000</v>
      </c>
      <c r="J40" s="430">
        <f t="shared" si="12"/>
        <v>-10000000</v>
      </c>
      <c r="K40" s="430">
        <f t="shared" si="12"/>
        <v>-2000000</v>
      </c>
      <c r="L40" s="430">
        <f t="shared" si="12"/>
        <v>-3000000</v>
      </c>
      <c r="M40" s="430">
        <f t="shared" si="12"/>
        <v>-400000</v>
      </c>
      <c r="N40" s="430">
        <f t="shared" si="12"/>
        <v>-100000</v>
      </c>
      <c r="O40" s="430">
        <f t="shared" si="12"/>
        <v>67500</v>
      </c>
      <c r="P40" s="430">
        <f t="shared" si="12"/>
        <v>67500</v>
      </c>
      <c r="Q40" s="430">
        <f t="shared" si="12"/>
        <v>67500</v>
      </c>
      <c r="R40" s="430">
        <f t="shared" si="12"/>
        <v>67500</v>
      </c>
      <c r="S40" s="430">
        <f t="shared" si="12"/>
        <v>18998526.416913908</v>
      </c>
    </row>
    <row r="41" spans="1:19" x14ac:dyDescent="0.3">
      <c r="B41" s="148"/>
      <c r="C41" s="201"/>
      <c r="D41" s="200"/>
      <c r="F41" s="135"/>
      <c r="G41" s="135"/>
      <c r="H41" s="430"/>
      <c r="I41" s="430"/>
      <c r="J41" s="430"/>
      <c r="K41" s="430"/>
      <c r="L41" s="430"/>
      <c r="M41" s="430"/>
      <c r="N41" s="430"/>
      <c r="O41" s="430"/>
      <c r="P41" s="430"/>
      <c r="Q41" s="430"/>
      <c r="R41" s="430"/>
      <c r="S41" s="430"/>
    </row>
    <row r="42" spans="1:19" ht="13.5" x14ac:dyDescent="0.3">
      <c r="A42" s="112"/>
      <c r="C42" s="135"/>
      <c r="D42" s="135"/>
      <c r="E42" s="138"/>
      <c r="F42" s="138"/>
      <c r="G42" s="138"/>
      <c r="H42" s="118"/>
      <c r="I42" s="118"/>
      <c r="J42" s="118"/>
      <c r="K42" s="118"/>
      <c r="L42" s="118"/>
      <c r="M42" s="118"/>
      <c r="N42" s="118"/>
      <c r="O42" s="118"/>
      <c r="P42" s="118"/>
      <c r="Q42" s="118"/>
      <c r="R42" s="118"/>
      <c r="S42" s="118"/>
    </row>
    <row r="43" spans="1:19" ht="14.5" x14ac:dyDescent="0.35">
      <c r="A43" s="112"/>
      <c r="B43" s="447" t="s">
        <v>261</v>
      </c>
      <c r="C43" s="448"/>
      <c r="D43" s="448"/>
      <c r="E43" s="448"/>
      <c r="F43" s="448"/>
      <c r="G43" s="449"/>
      <c r="H43" s="427">
        <v>40574</v>
      </c>
      <c r="I43" s="428">
        <f>EOMONTH(H43,1)</f>
        <v>40602</v>
      </c>
      <c r="J43" s="428">
        <f t="shared" ref="J43:S43" si="13">EOMONTH(I43,1)</f>
        <v>40633</v>
      </c>
      <c r="K43" s="428">
        <f t="shared" si="13"/>
        <v>40663</v>
      </c>
      <c r="L43" s="428">
        <f t="shared" si="13"/>
        <v>40694</v>
      </c>
      <c r="M43" s="428">
        <f t="shared" si="13"/>
        <v>40724</v>
      </c>
      <c r="N43" s="428">
        <f t="shared" si="13"/>
        <v>40755</v>
      </c>
      <c r="O43" s="428">
        <f t="shared" si="13"/>
        <v>40786</v>
      </c>
      <c r="P43" s="428">
        <f t="shared" si="13"/>
        <v>40816</v>
      </c>
      <c r="Q43" s="428">
        <f t="shared" si="13"/>
        <v>40847</v>
      </c>
      <c r="R43" s="428">
        <f t="shared" si="13"/>
        <v>40877</v>
      </c>
      <c r="S43" s="428">
        <f t="shared" si="13"/>
        <v>40908</v>
      </c>
    </row>
    <row r="44" spans="1:19" ht="14.5" x14ac:dyDescent="0.35">
      <c r="A44" s="112"/>
      <c r="B44" s="452">
        <f>((1+D47)^(1/365)-1)</f>
        <v>2.6115787606784124E-4</v>
      </c>
      <c r="C44" s="453"/>
      <c r="D44" s="453"/>
      <c r="E44" s="453"/>
      <c r="F44" s="453"/>
      <c r="G44" s="453"/>
      <c r="H44" s="422"/>
      <c r="I44" s="422"/>
      <c r="J44" s="422"/>
      <c r="K44" s="422"/>
      <c r="L44" s="422"/>
      <c r="M44" s="422"/>
      <c r="N44" s="422"/>
      <c r="O44" s="422"/>
      <c r="P44" s="422"/>
      <c r="Q44" s="422"/>
      <c r="R44" s="422"/>
      <c r="S44" s="422"/>
    </row>
    <row r="45" spans="1:19" ht="14.5" x14ac:dyDescent="0.35">
      <c r="A45" s="112"/>
      <c r="B45" s="451">
        <f>(1+B44)^365-1</f>
        <v>0.10000000000000697</v>
      </c>
      <c r="C45" s="451"/>
      <c r="D45" s="451"/>
      <c r="E45" s="451"/>
      <c r="F45" s="451"/>
      <c r="G45" s="451"/>
      <c r="H45" s="422"/>
      <c r="I45" s="422"/>
      <c r="J45" s="422"/>
      <c r="K45" s="422"/>
      <c r="L45" s="422"/>
      <c r="M45" s="422"/>
      <c r="N45" s="422"/>
      <c r="O45" s="422"/>
      <c r="P45" s="422"/>
      <c r="Q45" s="422"/>
      <c r="R45" s="422"/>
      <c r="S45" s="422"/>
    </row>
    <row r="46" spans="1:19" ht="13.5" x14ac:dyDescent="0.3">
      <c r="A46" s="112"/>
      <c r="C46" s="135"/>
      <c r="D46" s="135"/>
      <c r="E46" s="138"/>
      <c r="F46" s="138"/>
      <c r="G46" s="138"/>
      <c r="H46" s="118"/>
      <c r="I46" s="118"/>
      <c r="J46" s="118"/>
      <c r="K46" s="118"/>
      <c r="L46" s="118"/>
      <c r="M46" s="118"/>
      <c r="N46" s="118"/>
      <c r="O46" s="118"/>
      <c r="P46" s="118"/>
      <c r="Q46" s="118"/>
      <c r="R46" s="118"/>
      <c r="S46" s="118"/>
    </row>
    <row r="47" spans="1:19" x14ac:dyDescent="0.3">
      <c r="A47" s="357" t="s">
        <v>162</v>
      </c>
      <c r="B47" s="111" t="s">
        <v>246</v>
      </c>
      <c r="C47" s="148" t="s">
        <v>72</v>
      </c>
      <c r="D47" s="431">
        <f>$M$6</f>
        <v>0.1</v>
      </c>
      <c r="E47" s="421" t="s">
        <v>67</v>
      </c>
      <c r="F47" s="149"/>
      <c r="G47" s="149"/>
      <c r="H47" s="155"/>
      <c r="I47" s="155"/>
      <c r="J47" s="155"/>
      <c r="K47" s="155"/>
      <c r="L47" s="155"/>
      <c r="M47" s="155"/>
      <c r="N47" s="155"/>
      <c r="O47" s="155"/>
      <c r="P47" s="155"/>
      <c r="Q47" s="155"/>
      <c r="R47" s="155"/>
      <c r="S47" s="155"/>
    </row>
    <row r="48" spans="1:19" x14ac:dyDescent="0.3">
      <c r="A48" s="358" t="s">
        <v>163</v>
      </c>
      <c r="B48" s="113" t="s">
        <v>58</v>
      </c>
      <c r="C48" s="150"/>
      <c r="D48" s="150"/>
      <c r="E48" s="151"/>
      <c r="F48" s="151"/>
      <c r="G48" s="151"/>
      <c r="H48" s="152">
        <f t="shared" ref="H48:S48" si="14">+G52</f>
        <v>0</v>
      </c>
      <c r="I48" s="152">
        <f t="shared" si="14"/>
        <v>0</v>
      </c>
      <c r="J48" s="152">
        <f t="shared" si="14"/>
        <v>2500000</v>
      </c>
      <c r="K48" s="152">
        <f t="shared" si="14"/>
        <v>12520319.222417137</v>
      </c>
      <c r="L48" s="152">
        <f t="shared" si="14"/>
        <v>14618784.987736719</v>
      </c>
      <c r="M48" s="152">
        <f t="shared" si="14"/>
        <v>17737601.925190367</v>
      </c>
      <c r="N48" s="152">
        <f t="shared" si="14"/>
        <v>18277098.89147944</v>
      </c>
      <c r="O48" s="152">
        <f t="shared" si="14"/>
        <v>18525649.466485832</v>
      </c>
      <c r="P48" s="152">
        <f t="shared" si="14"/>
        <v>18608720.183258411</v>
      </c>
      <c r="Q48" s="152">
        <f t="shared" si="14"/>
        <v>18687568.039244525</v>
      </c>
      <c r="R48" s="152">
        <f t="shared" si="14"/>
        <v>18771954.779814444</v>
      </c>
      <c r="S48" s="212">
        <f t="shared" si="14"/>
        <v>18852086.390566792</v>
      </c>
    </row>
    <row r="49" spans="1:19" ht="13.5" x14ac:dyDescent="0.3">
      <c r="A49" s="112"/>
      <c r="B49" s="114" t="s">
        <v>59</v>
      </c>
      <c r="C49" s="153"/>
      <c r="D49" s="153"/>
      <c r="E49" s="154">
        <f>SUM(H49:S49)</f>
        <v>18000000</v>
      </c>
      <c r="F49" s="154"/>
      <c r="G49" s="154"/>
      <c r="H49" s="155">
        <f t="shared" ref="H49:S49" si="15">-H18</f>
        <v>0</v>
      </c>
      <c r="I49" s="155">
        <f t="shared" si="15"/>
        <v>2500000</v>
      </c>
      <c r="J49" s="155">
        <f t="shared" si="15"/>
        <v>10000000</v>
      </c>
      <c r="K49" s="155">
        <f t="shared" si="15"/>
        <v>2000000</v>
      </c>
      <c r="L49" s="155">
        <f t="shared" si="15"/>
        <v>3000000</v>
      </c>
      <c r="M49" s="155">
        <f t="shared" si="15"/>
        <v>400000</v>
      </c>
      <c r="N49" s="155">
        <f t="shared" si="15"/>
        <v>100000</v>
      </c>
      <c r="O49" s="155">
        <f t="shared" si="15"/>
        <v>0</v>
      </c>
      <c r="P49" s="155">
        <f t="shared" si="15"/>
        <v>0</v>
      </c>
      <c r="Q49" s="155">
        <f t="shared" si="15"/>
        <v>0</v>
      </c>
      <c r="R49" s="155">
        <f t="shared" si="15"/>
        <v>0</v>
      </c>
      <c r="S49" s="213">
        <f t="shared" si="15"/>
        <v>0</v>
      </c>
    </row>
    <row r="50" spans="1:19" ht="13.5" x14ac:dyDescent="0.3">
      <c r="A50" s="112"/>
      <c r="B50" s="114" t="s">
        <v>60</v>
      </c>
      <c r="C50" s="153"/>
      <c r="D50" s="153"/>
      <c r="E50" s="154">
        <f>SUM(H50:S50)</f>
        <v>1275310.2851256006</v>
      </c>
      <c r="F50" s="154"/>
      <c r="G50" s="154"/>
      <c r="H50" s="155">
        <f>+H48*((1+$B$44)^(H43-G43)-1)</f>
        <v>0</v>
      </c>
      <c r="I50" s="155">
        <f>+I48*((1+$B$44)^(I43-H43)-1)</f>
        <v>0</v>
      </c>
      <c r="J50" s="155">
        <f t="shared" ref="J50:S50" si="16">+J48*((1+$B$44)^(J43-I43)-1)</f>
        <v>20319.22241713724</v>
      </c>
      <c r="K50" s="155">
        <f t="shared" si="16"/>
        <v>98465.765319581988</v>
      </c>
      <c r="L50" s="155">
        <f t="shared" si="16"/>
        <v>118816.93745365171</v>
      </c>
      <c r="M50" s="155">
        <f t="shared" si="16"/>
        <v>139496.96628907335</v>
      </c>
      <c r="N50" s="155">
        <f t="shared" si="16"/>
        <v>148550.57500639328</v>
      </c>
      <c r="O50" s="155">
        <f t="shared" si="16"/>
        <v>150570.71677257819</v>
      </c>
      <c r="P50" s="155">
        <f t="shared" si="16"/>
        <v>146347.85598611506</v>
      </c>
      <c r="Q50" s="155">
        <f t="shared" si="16"/>
        <v>151886.74056991789</v>
      </c>
      <c r="R50" s="155">
        <f t="shared" si="16"/>
        <v>147631.61075234698</v>
      </c>
      <c r="S50" s="213">
        <f t="shared" si="16"/>
        <v>153223.89455880504</v>
      </c>
    </row>
    <row r="51" spans="1:19" ht="13.5" x14ac:dyDescent="0.3">
      <c r="A51" s="112"/>
      <c r="B51" s="114" t="s">
        <v>61</v>
      </c>
      <c r="C51" s="153"/>
      <c r="D51" s="153"/>
      <c r="E51" s="140">
        <f>SUM(H51:S51)</f>
        <v>-19275310.285125598</v>
      </c>
      <c r="F51" s="140"/>
      <c r="G51" s="140"/>
      <c r="H51" s="142">
        <f>MIN(0,MAX(-(H48+H49+H50),-$C$54*H16))</f>
        <v>0</v>
      </c>
      <c r="I51" s="142">
        <f t="shared" ref="I51:S51" si="17">MIN(0,MAX(-(I48+I49+I50),-$C$54*I16))</f>
        <v>0</v>
      </c>
      <c r="J51" s="142">
        <f t="shared" si="17"/>
        <v>0</v>
      </c>
      <c r="K51" s="142">
        <f t="shared" si="17"/>
        <v>0</v>
      </c>
      <c r="L51" s="142">
        <f t="shared" si="17"/>
        <v>0</v>
      </c>
      <c r="M51" s="142">
        <f t="shared" si="17"/>
        <v>0</v>
      </c>
      <c r="N51" s="142">
        <f t="shared" si="17"/>
        <v>0</v>
      </c>
      <c r="O51" s="142">
        <f t="shared" si="17"/>
        <v>-67500</v>
      </c>
      <c r="P51" s="142">
        <f t="shared" si="17"/>
        <v>-67500</v>
      </c>
      <c r="Q51" s="142">
        <f t="shared" si="17"/>
        <v>-67500</v>
      </c>
      <c r="R51" s="142">
        <f t="shared" si="17"/>
        <v>-67500</v>
      </c>
      <c r="S51" s="216">
        <f t="shared" si="17"/>
        <v>-19005310.285125598</v>
      </c>
    </row>
    <row r="52" spans="1:19" ht="13.5" x14ac:dyDescent="0.3">
      <c r="A52" s="112"/>
      <c r="B52" s="114" t="s">
        <v>62</v>
      </c>
      <c r="C52" s="153"/>
      <c r="D52" s="153"/>
      <c r="E52" s="154">
        <f>SUM(E49:E51)</f>
        <v>0</v>
      </c>
      <c r="F52" s="154"/>
      <c r="G52" s="277"/>
      <c r="H52" s="155">
        <f t="shared" ref="H52:S52" si="18">SUM(H48:H51)</f>
        <v>0</v>
      </c>
      <c r="I52" s="155">
        <f t="shared" si="18"/>
        <v>2500000</v>
      </c>
      <c r="J52" s="155">
        <f t="shared" si="18"/>
        <v>12520319.222417137</v>
      </c>
      <c r="K52" s="155">
        <f t="shared" si="18"/>
        <v>14618784.987736719</v>
      </c>
      <c r="L52" s="155">
        <f t="shared" si="18"/>
        <v>17737601.925190367</v>
      </c>
      <c r="M52" s="155">
        <f t="shared" si="18"/>
        <v>18277098.89147944</v>
      </c>
      <c r="N52" s="155">
        <f t="shared" si="18"/>
        <v>18525649.466485832</v>
      </c>
      <c r="O52" s="155">
        <f t="shared" si="18"/>
        <v>18608720.183258411</v>
      </c>
      <c r="P52" s="155">
        <f t="shared" si="18"/>
        <v>18687568.039244525</v>
      </c>
      <c r="Q52" s="155">
        <f t="shared" si="18"/>
        <v>18771954.779814444</v>
      </c>
      <c r="R52" s="155">
        <f t="shared" si="18"/>
        <v>18852086.390566792</v>
      </c>
      <c r="S52" s="213">
        <f t="shared" si="18"/>
        <v>0</v>
      </c>
    </row>
    <row r="53" spans="1:19" ht="13.5" x14ac:dyDescent="0.3">
      <c r="A53" s="112"/>
      <c r="B53" s="114"/>
      <c r="C53" s="153"/>
      <c r="D53" s="153"/>
      <c r="E53" s="157"/>
      <c r="F53" s="157"/>
      <c r="G53" s="157"/>
      <c r="H53" s="155"/>
      <c r="I53" s="155"/>
      <c r="J53" s="155"/>
      <c r="K53" s="155"/>
      <c r="L53" s="155"/>
      <c r="M53" s="155"/>
      <c r="N53" s="155"/>
      <c r="O53" s="155"/>
      <c r="P53" s="155"/>
      <c r="Q53" s="155"/>
      <c r="R53" s="155"/>
      <c r="S53" s="213"/>
    </row>
    <row r="54" spans="1:19" ht="13.5" x14ac:dyDescent="0.3">
      <c r="A54" s="112"/>
      <c r="B54" s="115" t="s">
        <v>63</v>
      </c>
      <c r="C54" s="158">
        <f>$Q$6</f>
        <v>0.9</v>
      </c>
      <c r="D54" s="158"/>
      <c r="E54" s="154">
        <f>+SUM(H54:S54)</f>
        <v>1275310.2851255983</v>
      </c>
      <c r="F54" s="154"/>
      <c r="G54" s="154"/>
      <c r="H54" s="159">
        <f t="shared" ref="H54:S54" si="19">+MIN(-(H49+H51),H48+H50)</f>
        <v>0</v>
      </c>
      <c r="I54" s="159">
        <f t="shared" si="19"/>
        <v>-2500000</v>
      </c>
      <c r="J54" s="159">
        <f t="shared" si="19"/>
        <v>-10000000</v>
      </c>
      <c r="K54" s="159">
        <f t="shared" si="19"/>
        <v>-2000000</v>
      </c>
      <c r="L54" s="159">
        <f t="shared" si="19"/>
        <v>-3000000</v>
      </c>
      <c r="M54" s="159">
        <f t="shared" si="19"/>
        <v>-400000</v>
      </c>
      <c r="N54" s="159">
        <f t="shared" si="19"/>
        <v>-100000</v>
      </c>
      <c r="O54" s="159">
        <f t="shared" si="19"/>
        <v>67500</v>
      </c>
      <c r="P54" s="159">
        <f t="shared" si="19"/>
        <v>67500</v>
      </c>
      <c r="Q54" s="159">
        <f t="shared" si="19"/>
        <v>67500</v>
      </c>
      <c r="R54" s="159">
        <f t="shared" si="19"/>
        <v>67500</v>
      </c>
      <c r="S54" s="214">
        <f t="shared" si="19"/>
        <v>19005310.285125598</v>
      </c>
    </row>
    <row r="55" spans="1:19" ht="13.5" x14ac:dyDescent="0.3">
      <c r="A55" s="112"/>
      <c r="B55" s="115" t="s">
        <v>125</v>
      </c>
      <c r="C55" s="160">
        <f>$N$6</f>
        <v>0.1</v>
      </c>
      <c r="D55" s="160"/>
      <c r="E55" s="154">
        <f>+SUM(H55:S55)</f>
        <v>2141701.1427917331</v>
      </c>
      <c r="F55" s="161"/>
      <c r="G55" s="161"/>
      <c r="H55" s="159">
        <f>-H51/$C$54*$C$55</f>
        <v>0</v>
      </c>
      <c r="I55" s="159">
        <f t="shared" ref="I55:S55" si="20">-I51/$C$54*$C$55</f>
        <v>0</v>
      </c>
      <c r="J55" s="159">
        <f t="shared" si="20"/>
        <v>0</v>
      </c>
      <c r="K55" s="159">
        <f t="shared" si="20"/>
        <v>0</v>
      </c>
      <c r="L55" s="159">
        <f t="shared" si="20"/>
        <v>0</v>
      </c>
      <c r="M55" s="159">
        <f t="shared" si="20"/>
        <v>0</v>
      </c>
      <c r="N55" s="159">
        <f t="shared" si="20"/>
        <v>0</v>
      </c>
      <c r="O55" s="159">
        <f t="shared" si="20"/>
        <v>7500</v>
      </c>
      <c r="P55" s="159">
        <f t="shared" si="20"/>
        <v>7500</v>
      </c>
      <c r="Q55" s="159">
        <f t="shared" si="20"/>
        <v>7500</v>
      </c>
      <c r="R55" s="159">
        <f t="shared" si="20"/>
        <v>7500</v>
      </c>
      <c r="S55" s="214">
        <f t="shared" si="20"/>
        <v>2111701.1427917331</v>
      </c>
    </row>
    <row r="56" spans="1:19" ht="13.5" x14ac:dyDescent="0.3">
      <c r="A56" s="112"/>
      <c r="B56" s="115" t="s">
        <v>126</v>
      </c>
      <c r="C56" s="158">
        <f>$O$6</f>
        <v>0</v>
      </c>
      <c r="D56" s="158"/>
      <c r="E56" s="154">
        <f>+SUM(H56:S56)</f>
        <v>0</v>
      </c>
      <c r="F56" s="161"/>
      <c r="G56" s="161"/>
      <c r="H56" s="159">
        <f>-H51/$C$54*$C$56</f>
        <v>0</v>
      </c>
      <c r="I56" s="159">
        <f t="shared" ref="I56:S56" si="21">-I51/$C$54*$C$56</f>
        <v>0</v>
      </c>
      <c r="J56" s="159">
        <f t="shared" si="21"/>
        <v>0</v>
      </c>
      <c r="K56" s="159">
        <f t="shared" si="21"/>
        <v>0</v>
      </c>
      <c r="L56" s="159">
        <f t="shared" si="21"/>
        <v>0</v>
      </c>
      <c r="M56" s="159">
        <f t="shared" si="21"/>
        <v>0</v>
      </c>
      <c r="N56" s="159">
        <f t="shared" si="21"/>
        <v>0</v>
      </c>
      <c r="O56" s="159">
        <f t="shared" si="21"/>
        <v>0</v>
      </c>
      <c r="P56" s="159">
        <f t="shared" si="21"/>
        <v>0</v>
      </c>
      <c r="Q56" s="159">
        <f t="shared" si="21"/>
        <v>0</v>
      </c>
      <c r="R56" s="159">
        <f t="shared" si="21"/>
        <v>0</v>
      </c>
      <c r="S56" s="214">
        <f t="shared" si="21"/>
        <v>0</v>
      </c>
    </row>
    <row r="57" spans="1:19" ht="13.5" x14ac:dyDescent="0.3">
      <c r="A57" s="112"/>
      <c r="B57" s="115"/>
      <c r="C57" s="158"/>
      <c r="D57" s="158"/>
      <c r="E57" s="154"/>
      <c r="F57" s="161"/>
      <c r="G57" s="161"/>
      <c r="H57" s="159"/>
      <c r="I57" s="159"/>
      <c r="J57" s="159"/>
      <c r="K57" s="159"/>
      <c r="L57" s="159"/>
      <c r="M57" s="159"/>
      <c r="N57" s="159"/>
      <c r="O57" s="159"/>
      <c r="P57" s="159"/>
      <c r="Q57" s="159"/>
      <c r="R57" s="159"/>
      <c r="S57" s="214"/>
    </row>
    <row r="58" spans="1:19" ht="13.5" x14ac:dyDescent="0.3">
      <c r="A58" s="112"/>
      <c r="B58" s="116" t="s">
        <v>64</v>
      </c>
      <c r="C58" s="163"/>
      <c r="D58" s="163"/>
      <c r="E58" s="140">
        <f>+SUM(H58:S58)</f>
        <v>18882988.572082669</v>
      </c>
      <c r="F58" s="140"/>
      <c r="G58" s="140"/>
      <c r="H58" s="164">
        <f>IF(H54&lt;0,0,H15-SUM(H54:H56))</f>
        <v>0</v>
      </c>
      <c r="I58" s="164">
        <f t="shared" ref="I58:S58" si="22">IF(I54&lt;0,0,I15-SUM(I54:I56))</f>
        <v>0</v>
      </c>
      <c r="J58" s="164">
        <f t="shared" si="22"/>
        <v>0</v>
      </c>
      <c r="K58" s="164">
        <f t="shared" si="22"/>
        <v>0</v>
      </c>
      <c r="L58" s="164">
        <f t="shared" si="22"/>
        <v>0</v>
      </c>
      <c r="M58" s="164">
        <f t="shared" si="22"/>
        <v>0</v>
      </c>
      <c r="N58" s="164">
        <f t="shared" si="22"/>
        <v>0</v>
      </c>
      <c r="O58" s="164">
        <f t="shared" si="22"/>
        <v>0</v>
      </c>
      <c r="P58" s="164">
        <f t="shared" si="22"/>
        <v>0</v>
      </c>
      <c r="Q58" s="164">
        <f t="shared" si="22"/>
        <v>0</v>
      </c>
      <c r="R58" s="164">
        <f t="shared" si="22"/>
        <v>0</v>
      </c>
      <c r="S58" s="215">
        <f t="shared" si="22"/>
        <v>18882988.572082669</v>
      </c>
    </row>
    <row r="59" spans="1:19" ht="13.5" x14ac:dyDescent="0.3">
      <c r="A59" s="112"/>
      <c r="C59" s="135"/>
      <c r="D59" s="135"/>
      <c r="E59" s="138"/>
      <c r="F59" s="138"/>
      <c r="G59" s="138"/>
      <c r="H59" s="118"/>
      <c r="I59" s="118"/>
      <c r="J59" s="118"/>
      <c r="K59" s="118"/>
      <c r="L59" s="118"/>
      <c r="M59" s="118"/>
      <c r="N59" s="118"/>
      <c r="O59" s="118"/>
      <c r="P59" s="118"/>
      <c r="Q59" s="118"/>
      <c r="R59" s="118"/>
      <c r="S59" s="118"/>
    </row>
    <row r="60" spans="1:19" ht="13.5" x14ac:dyDescent="0.3">
      <c r="A60" s="112"/>
      <c r="B60" s="148" t="s">
        <v>271</v>
      </c>
      <c r="C60" s="201">
        <f>XIRR(I60:S60,I43:S43)</f>
        <v>0.10000000596046449</v>
      </c>
      <c r="D60" s="135"/>
      <c r="E60" s="138"/>
      <c r="F60" s="138"/>
      <c r="G60" s="138"/>
      <c r="H60" s="430">
        <f>-(H49+H51)</f>
        <v>0</v>
      </c>
      <c r="I60" s="430">
        <f t="shared" ref="I60:S60" si="23">-(I49+I51)</f>
        <v>-2500000</v>
      </c>
      <c r="J60" s="430">
        <f t="shared" si="23"/>
        <v>-10000000</v>
      </c>
      <c r="K60" s="430">
        <f t="shared" si="23"/>
        <v>-2000000</v>
      </c>
      <c r="L60" s="430">
        <f t="shared" si="23"/>
        <v>-3000000</v>
      </c>
      <c r="M60" s="430">
        <f t="shared" si="23"/>
        <v>-400000</v>
      </c>
      <c r="N60" s="430">
        <f t="shared" si="23"/>
        <v>-100000</v>
      </c>
      <c r="O60" s="430">
        <f t="shared" si="23"/>
        <v>67500</v>
      </c>
      <c r="P60" s="430">
        <f t="shared" si="23"/>
        <v>67500</v>
      </c>
      <c r="Q60" s="430">
        <f t="shared" si="23"/>
        <v>67500</v>
      </c>
      <c r="R60" s="430">
        <f t="shared" si="23"/>
        <v>67500</v>
      </c>
      <c r="S60" s="430">
        <f t="shared" si="23"/>
        <v>19005310.285125598</v>
      </c>
    </row>
    <row r="61" spans="1:19" ht="13.5" x14ac:dyDescent="0.3">
      <c r="A61" s="112"/>
      <c r="B61" s="148"/>
      <c r="C61" s="201"/>
      <c r="D61" s="135"/>
      <c r="E61" s="138"/>
      <c r="F61" s="138"/>
      <c r="G61" s="138"/>
      <c r="H61" s="118"/>
      <c r="I61" s="118"/>
      <c r="J61" s="118"/>
      <c r="K61" s="118"/>
      <c r="L61" s="118"/>
      <c r="M61" s="118"/>
      <c r="N61" s="118"/>
      <c r="O61" s="118"/>
      <c r="P61" s="118"/>
      <c r="Q61" s="118"/>
      <c r="R61" s="118"/>
      <c r="S61" s="118"/>
    </row>
    <row r="62" spans="1:19" ht="14.5" x14ac:dyDescent="0.35">
      <c r="A62" s="112"/>
      <c r="B62" s="429" t="s">
        <v>259</v>
      </c>
      <c r="C62" s="200" t="s">
        <v>265</v>
      </c>
      <c r="D62" s="200" t="s">
        <v>266</v>
      </c>
      <c r="E62" s="375" t="s">
        <v>270</v>
      </c>
      <c r="F62" s="138"/>
      <c r="G62" s="138"/>
      <c r="H62" s="118"/>
      <c r="I62" s="118"/>
      <c r="J62" s="118"/>
      <c r="K62" s="118"/>
      <c r="L62" s="118"/>
      <c r="M62" s="118"/>
      <c r="N62" s="118"/>
      <c r="O62" s="118"/>
      <c r="P62" s="118"/>
      <c r="Q62" s="118"/>
      <c r="R62" s="118"/>
      <c r="S62" s="118"/>
    </row>
    <row r="63" spans="1:19" ht="13.5" x14ac:dyDescent="0.3">
      <c r="A63" s="112"/>
      <c r="C63" s="135"/>
      <c r="D63" s="135"/>
      <c r="E63" s="375" t="s">
        <v>269</v>
      </c>
      <c r="F63" s="138"/>
      <c r="G63" s="138"/>
      <c r="H63" s="118"/>
      <c r="I63" s="118"/>
      <c r="J63" s="118"/>
      <c r="K63" s="118"/>
      <c r="L63" s="118"/>
      <c r="M63" s="118"/>
      <c r="N63" s="118"/>
      <c r="O63" s="118"/>
      <c r="P63" s="118"/>
      <c r="Q63" s="118"/>
      <c r="R63" s="118"/>
      <c r="S63" s="118"/>
    </row>
    <row r="64" spans="1:19" ht="16.5" customHeight="1" x14ac:dyDescent="0.3">
      <c r="A64" s="112"/>
      <c r="B64" s="198" t="s">
        <v>60</v>
      </c>
      <c r="C64" s="375">
        <f>E30</f>
        <v>1268526.4169139105</v>
      </c>
      <c r="D64" s="375">
        <f>E50</f>
        <v>1275310.2851256006</v>
      </c>
      <c r="E64" s="375">
        <f>D64-C64</f>
        <v>6783.8682116901036</v>
      </c>
      <c r="F64" s="138"/>
      <c r="G64" s="138"/>
      <c r="H64" s="118"/>
      <c r="I64" s="118"/>
      <c r="J64" s="118"/>
      <c r="K64" s="118"/>
      <c r="L64" s="118"/>
      <c r="M64" s="118"/>
      <c r="N64" s="118"/>
      <c r="O64" s="118"/>
      <c r="P64" s="118"/>
      <c r="Q64" s="118"/>
      <c r="R64" s="118"/>
      <c r="S64" s="118"/>
    </row>
    <row r="65" spans="1:19" ht="13.5" x14ac:dyDescent="0.3">
      <c r="A65" s="112"/>
      <c r="B65" s="198" t="s">
        <v>63</v>
      </c>
      <c r="C65" s="375">
        <f>E34</f>
        <v>1268526.416913908</v>
      </c>
      <c r="D65" s="375">
        <f>E54</f>
        <v>1275310.2851255983</v>
      </c>
      <c r="E65" s="375">
        <f>D65-C65</f>
        <v>6783.8682116903365</v>
      </c>
      <c r="F65" s="138"/>
      <c r="G65" s="138"/>
      <c r="H65" s="118"/>
      <c r="I65" s="118"/>
      <c r="J65" s="118"/>
      <c r="K65" s="118"/>
      <c r="L65" s="118"/>
      <c r="M65" s="118"/>
      <c r="N65" s="118"/>
      <c r="O65" s="118"/>
      <c r="P65" s="118"/>
      <c r="Q65" s="118"/>
      <c r="R65" s="118"/>
      <c r="S65" s="118"/>
    </row>
    <row r="66" spans="1:19" ht="13.5" x14ac:dyDescent="0.3">
      <c r="A66" s="112"/>
      <c r="B66" s="198" t="s">
        <v>125</v>
      </c>
      <c r="C66" s="375">
        <f>E35</f>
        <v>2140947.3796571009</v>
      </c>
      <c r="D66" s="375">
        <f>E55</f>
        <v>2141701.1427917331</v>
      </c>
      <c r="E66" s="375">
        <f>D66-C66</f>
        <v>753.76313463225961</v>
      </c>
      <c r="F66" s="138"/>
      <c r="G66" s="138"/>
      <c r="H66" s="118"/>
      <c r="I66" s="118"/>
      <c r="J66" s="118"/>
      <c r="K66" s="118"/>
      <c r="L66" s="118"/>
      <c r="M66" s="118"/>
      <c r="N66" s="118"/>
      <c r="O66" s="118"/>
      <c r="P66" s="118"/>
      <c r="Q66" s="118"/>
      <c r="R66" s="118"/>
      <c r="S66" s="118"/>
    </row>
    <row r="67" spans="1:19" ht="13.5" x14ac:dyDescent="0.3">
      <c r="A67" s="112"/>
      <c r="B67" s="198" t="s">
        <v>64</v>
      </c>
      <c r="C67" s="375">
        <f>E38</f>
        <v>18890526.203428991</v>
      </c>
      <c r="D67" s="375">
        <f>E58</f>
        <v>18882988.572082669</v>
      </c>
      <c r="E67" s="375">
        <f>D67-C67</f>
        <v>-7537.6313463225961</v>
      </c>
      <c r="F67" s="138"/>
      <c r="G67" s="138"/>
      <c r="H67" s="118"/>
      <c r="I67" s="118"/>
      <c r="J67" s="118"/>
      <c r="K67" s="118"/>
      <c r="L67" s="118"/>
      <c r="M67" s="118"/>
      <c r="N67" s="118"/>
      <c r="O67" s="118"/>
      <c r="P67" s="118"/>
      <c r="Q67" s="118"/>
      <c r="R67" s="118"/>
      <c r="S67" s="118"/>
    </row>
    <row r="68" spans="1:19" ht="13.5" x14ac:dyDescent="0.3">
      <c r="A68" s="112"/>
      <c r="B68" s="198"/>
      <c r="C68" s="433"/>
      <c r="D68" s="433"/>
      <c r="E68" s="433"/>
      <c r="F68" s="138"/>
      <c r="G68" s="138"/>
      <c r="H68" s="118"/>
      <c r="I68" s="118"/>
      <c r="J68" s="118"/>
      <c r="K68" s="118"/>
      <c r="L68" s="118"/>
      <c r="M68" s="118"/>
      <c r="N68" s="118"/>
      <c r="O68" s="118"/>
      <c r="P68" s="118"/>
      <c r="Q68" s="118"/>
      <c r="R68" s="118"/>
      <c r="S68" s="118"/>
    </row>
    <row r="69" spans="1:19" ht="47.25" customHeight="1" x14ac:dyDescent="0.3">
      <c r="A69" s="112"/>
      <c r="C69" s="135"/>
      <c r="D69" s="135"/>
      <c r="E69" s="138"/>
      <c r="F69" s="138"/>
      <c r="G69" s="138"/>
      <c r="H69" s="118"/>
      <c r="I69" s="118"/>
      <c r="J69" s="118"/>
      <c r="K69" s="118"/>
      <c r="L69" s="118"/>
      <c r="M69" s="118"/>
      <c r="N69" s="118"/>
      <c r="O69" s="118"/>
      <c r="P69" s="118"/>
      <c r="Q69" s="118"/>
      <c r="R69" s="118"/>
      <c r="S69" s="118"/>
    </row>
    <row r="70" spans="1:19" ht="14.5" x14ac:dyDescent="0.35">
      <c r="A70" s="112"/>
      <c r="B70" s="447" t="s">
        <v>262</v>
      </c>
      <c r="C70" s="448"/>
      <c r="D70" s="448"/>
      <c r="E70" s="448"/>
      <c r="F70" s="448"/>
      <c r="G70" s="449"/>
      <c r="H70" s="424" t="s">
        <v>247</v>
      </c>
      <c r="I70" s="275" t="s">
        <v>248</v>
      </c>
      <c r="J70" s="275" t="s">
        <v>249</v>
      </c>
      <c r="K70" s="275" t="s">
        <v>250</v>
      </c>
      <c r="L70" s="275" t="s">
        <v>251</v>
      </c>
      <c r="M70" s="275" t="s">
        <v>252</v>
      </c>
      <c r="N70" s="275" t="s">
        <v>253</v>
      </c>
      <c r="O70" s="275" t="s">
        <v>254</v>
      </c>
      <c r="P70" s="275" t="s">
        <v>255</v>
      </c>
      <c r="Q70" s="275" t="s">
        <v>256</v>
      </c>
      <c r="R70" s="275" t="s">
        <v>257</v>
      </c>
      <c r="S70" s="275" t="s">
        <v>258</v>
      </c>
    </row>
    <row r="71" spans="1:19" ht="14.5" x14ac:dyDescent="0.35">
      <c r="A71" s="112"/>
      <c r="B71" s="454">
        <f>((1+D74)^(1/4)-1)</f>
        <v>2.4113689084445111E-2</v>
      </c>
      <c r="C71" s="455"/>
      <c r="D71" s="455"/>
      <c r="E71" s="455"/>
      <c r="F71" s="455"/>
      <c r="G71" s="455"/>
      <c r="H71" s="422"/>
      <c r="I71" s="422"/>
      <c r="J71" s="422"/>
      <c r="K71" s="422"/>
      <c r="L71" s="422"/>
      <c r="M71" s="422"/>
      <c r="N71" s="422"/>
      <c r="O71" s="422"/>
      <c r="P71" s="422"/>
      <c r="Q71" s="422"/>
      <c r="R71" s="422"/>
      <c r="S71" s="422"/>
    </row>
    <row r="72" spans="1:19" ht="14.5" x14ac:dyDescent="0.35">
      <c r="A72" s="112"/>
      <c r="B72" s="451">
        <f>(1+B71)^4-1</f>
        <v>9.9999999999999645E-2</v>
      </c>
      <c r="C72" s="451"/>
      <c r="D72" s="451"/>
      <c r="E72" s="451"/>
      <c r="F72" s="451"/>
      <c r="G72" s="451"/>
      <c r="H72" s="432"/>
      <c r="I72" s="422"/>
      <c r="J72" s="422"/>
      <c r="K72" s="422"/>
      <c r="L72" s="422"/>
      <c r="M72" s="422"/>
      <c r="N72" s="422"/>
      <c r="O72" s="422"/>
      <c r="P72" s="422"/>
      <c r="Q72" s="422"/>
      <c r="R72" s="422"/>
      <c r="S72" s="422"/>
    </row>
    <row r="73" spans="1:19" ht="13.5" x14ac:dyDescent="0.3">
      <c r="A73" s="112"/>
      <c r="C73" s="135"/>
      <c r="D73" s="135"/>
      <c r="E73" s="138"/>
      <c r="F73" s="138"/>
      <c r="G73" s="138"/>
      <c r="H73" s="118"/>
      <c r="I73" s="118"/>
      <c r="J73" s="118"/>
      <c r="K73" s="118"/>
      <c r="L73" s="118"/>
      <c r="M73" s="118"/>
      <c r="N73" s="118"/>
      <c r="O73" s="118"/>
      <c r="P73" s="118"/>
      <c r="Q73" s="118"/>
      <c r="R73" s="118"/>
      <c r="S73" s="118"/>
    </row>
    <row r="74" spans="1:19" x14ac:dyDescent="0.3">
      <c r="A74" s="357" t="s">
        <v>162</v>
      </c>
      <c r="B74" s="111" t="s">
        <v>267</v>
      </c>
      <c r="C74" s="148" t="s">
        <v>72</v>
      </c>
      <c r="D74" s="146">
        <f>$M$6</f>
        <v>0.1</v>
      </c>
      <c r="E74" s="421" t="s">
        <v>67</v>
      </c>
      <c r="F74" s="149"/>
      <c r="G74" s="149"/>
      <c r="H74" s="155"/>
      <c r="I74" s="155"/>
      <c r="J74" s="155"/>
      <c r="K74" s="155"/>
      <c r="L74" s="155"/>
      <c r="M74" s="155"/>
      <c r="N74" s="155"/>
      <c r="O74" s="155"/>
      <c r="P74" s="155"/>
      <c r="Q74" s="155"/>
      <c r="R74" s="155"/>
      <c r="S74" s="155"/>
    </row>
    <row r="75" spans="1:19" x14ac:dyDescent="0.3">
      <c r="A75" s="358" t="s">
        <v>163</v>
      </c>
      <c r="B75" s="113" t="s">
        <v>58</v>
      </c>
      <c r="C75" s="150"/>
      <c r="D75" s="150"/>
      <c r="E75" s="151"/>
      <c r="F75" s="151"/>
      <c r="G75" s="151"/>
      <c r="H75" s="152">
        <f t="shared" ref="H75:S75" si="24">+G79</f>
        <v>0</v>
      </c>
      <c r="I75" s="152">
        <f t="shared" si="24"/>
        <v>0</v>
      </c>
      <c r="J75" s="152">
        <f t="shared" si="24"/>
        <v>2500000</v>
      </c>
      <c r="K75" s="152">
        <f t="shared" si="24"/>
        <v>12560284.222711112</v>
      </c>
      <c r="L75" s="152">
        <f t="shared" si="24"/>
        <v>14863159.01126983</v>
      </c>
      <c r="M75" s="152">
        <f t="shared" si="24"/>
        <v>18221564.606480259</v>
      </c>
      <c r="N75" s="152">
        <f t="shared" si="24"/>
        <v>19060953.750033055</v>
      </c>
      <c r="O75" s="152">
        <f t="shared" si="24"/>
        <v>19620583.662414338</v>
      </c>
      <c r="P75" s="152">
        <f t="shared" si="24"/>
        <v>20026208.316505142</v>
      </c>
      <c r="Q75" s="152">
        <f t="shared" si="24"/>
        <v>20441614.077389676</v>
      </c>
      <c r="R75" s="152">
        <f t="shared" si="24"/>
        <v>20867036.803636067</v>
      </c>
      <c r="S75" s="212">
        <f t="shared" si="24"/>
        <v>21302718.041232619</v>
      </c>
    </row>
    <row r="76" spans="1:19" ht="13.5" x14ac:dyDescent="0.3">
      <c r="A76" s="112"/>
      <c r="B76" s="114" t="s">
        <v>59</v>
      </c>
      <c r="C76" s="153"/>
      <c r="D76" s="153"/>
      <c r="E76" s="154">
        <f>SUM(H76:S76)</f>
        <v>18000000</v>
      </c>
      <c r="F76" s="154"/>
      <c r="G76" s="154"/>
      <c r="H76" s="155">
        <f>-H18</f>
        <v>0</v>
      </c>
      <c r="I76" s="155">
        <f t="shared" ref="I76:S76" si="25">-I18</f>
        <v>2500000</v>
      </c>
      <c r="J76" s="155">
        <f t="shared" si="25"/>
        <v>10000000</v>
      </c>
      <c r="K76" s="155">
        <f t="shared" si="25"/>
        <v>2000000</v>
      </c>
      <c r="L76" s="155">
        <f t="shared" si="25"/>
        <v>3000000</v>
      </c>
      <c r="M76" s="155">
        <f t="shared" si="25"/>
        <v>400000</v>
      </c>
      <c r="N76" s="155">
        <f t="shared" si="25"/>
        <v>100000</v>
      </c>
      <c r="O76" s="155">
        <f t="shared" si="25"/>
        <v>0</v>
      </c>
      <c r="P76" s="155">
        <f t="shared" si="25"/>
        <v>0</v>
      </c>
      <c r="Q76" s="155">
        <f t="shared" si="25"/>
        <v>0</v>
      </c>
      <c r="R76" s="155">
        <f t="shared" si="25"/>
        <v>0</v>
      </c>
      <c r="S76" s="213">
        <f t="shared" si="25"/>
        <v>0</v>
      </c>
    </row>
    <row r="77" spans="1:19" ht="13.5" x14ac:dyDescent="0.3">
      <c r="A77" s="112"/>
      <c r="B77" s="114" t="s">
        <v>60</v>
      </c>
      <c r="C77" s="153"/>
      <c r="D77" s="153"/>
      <c r="E77" s="154">
        <f>SUM(H77:S77)</f>
        <v>4086405.1607325026</v>
      </c>
      <c r="F77" s="154"/>
      <c r="G77" s="154"/>
      <c r="H77" s="155">
        <f>+H75*((1+$B$71)-1)</f>
        <v>0</v>
      </c>
      <c r="I77" s="155">
        <f t="shared" ref="I77:S77" si="26">+I75*((1+$B$71)-1)</f>
        <v>0</v>
      </c>
      <c r="J77" s="155">
        <f t="shared" si="26"/>
        <v>60284.22271111278</v>
      </c>
      <c r="K77" s="155">
        <f t="shared" si="26"/>
        <v>302874.78855871712</v>
      </c>
      <c r="L77" s="155">
        <f t="shared" si="26"/>
        <v>358405.59521042928</v>
      </c>
      <c r="M77" s="155">
        <f t="shared" si="26"/>
        <v>439389.14355279441</v>
      </c>
      <c r="N77" s="155">
        <f t="shared" si="26"/>
        <v>459629.91238128516</v>
      </c>
      <c r="O77" s="155">
        <f t="shared" si="26"/>
        <v>473124.65409080271</v>
      </c>
      <c r="P77" s="155">
        <f t="shared" si="26"/>
        <v>482905.76088453393</v>
      </c>
      <c r="Q77" s="155">
        <f t="shared" si="26"/>
        <v>492922.72624639096</v>
      </c>
      <c r="R77" s="155">
        <f t="shared" si="26"/>
        <v>503181.2375965534</v>
      </c>
      <c r="S77" s="213">
        <f t="shared" si="26"/>
        <v>513687.11949988297</v>
      </c>
    </row>
    <row r="78" spans="1:19" ht="13.5" x14ac:dyDescent="0.3">
      <c r="A78" s="112"/>
      <c r="B78" s="114" t="s">
        <v>61</v>
      </c>
      <c r="C78" s="153"/>
      <c r="D78" s="153"/>
      <c r="E78" s="140">
        <f>SUM(H78:S78)</f>
        <v>-22086405.160732504</v>
      </c>
      <c r="F78" s="140"/>
      <c r="G78" s="140"/>
      <c r="H78" s="142">
        <f>MIN(0,MAX(-(H75+H76+H77),-$C$81*H35))</f>
        <v>0</v>
      </c>
      <c r="I78" s="142">
        <f>MIN(0,MAX(-(I75+I76+I77),-$C$81*I16))</f>
        <v>0</v>
      </c>
      <c r="J78" s="142">
        <f t="shared" ref="J78:S78" si="27">MIN(0,MAX(-(J75+J76+J77),-$C$81*J16))</f>
        <v>0</v>
      </c>
      <c r="K78" s="142">
        <f t="shared" si="27"/>
        <v>0</v>
      </c>
      <c r="L78" s="142">
        <f t="shared" si="27"/>
        <v>0</v>
      </c>
      <c r="M78" s="142">
        <f t="shared" si="27"/>
        <v>0</v>
      </c>
      <c r="N78" s="142">
        <f t="shared" si="27"/>
        <v>0</v>
      </c>
      <c r="O78" s="142">
        <f t="shared" si="27"/>
        <v>-67500</v>
      </c>
      <c r="P78" s="142">
        <f t="shared" si="27"/>
        <v>-67500</v>
      </c>
      <c r="Q78" s="142">
        <f t="shared" si="27"/>
        <v>-67500</v>
      </c>
      <c r="R78" s="142">
        <f t="shared" si="27"/>
        <v>-67500</v>
      </c>
      <c r="S78" s="216">
        <f t="shared" si="27"/>
        <v>-21816405.160732504</v>
      </c>
    </row>
    <row r="79" spans="1:19" ht="13.5" x14ac:dyDescent="0.3">
      <c r="A79" s="112"/>
      <c r="B79" s="114" t="s">
        <v>62</v>
      </c>
      <c r="C79" s="153"/>
      <c r="D79" s="153"/>
      <c r="E79" s="154">
        <f>SUM(E76:E78)</f>
        <v>0</v>
      </c>
      <c r="F79" s="154"/>
      <c r="G79" s="156"/>
      <c r="H79" s="155">
        <f t="shared" ref="H79:S79" si="28">SUM(H75:H78)</f>
        <v>0</v>
      </c>
      <c r="I79" s="155">
        <f t="shared" si="28"/>
        <v>2500000</v>
      </c>
      <c r="J79" s="155">
        <f t="shared" si="28"/>
        <v>12560284.222711112</v>
      </c>
      <c r="K79" s="155">
        <f t="shared" si="28"/>
        <v>14863159.01126983</v>
      </c>
      <c r="L79" s="155">
        <f t="shared" si="28"/>
        <v>18221564.606480259</v>
      </c>
      <c r="M79" s="155">
        <f t="shared" si="28"/>
        <v>19060953.750033055</v>
      </c>
      <c r="N79" s="155">
        <f t="shared" si="28"/>
        <v>19620583.662414338</v>
      </c>
      <c r="O79" s="155">
        <f t="shared" si="28"/>
        <v>20026208.316505142</v>
      </c>
      <c r="P79" s="155">
        <f t="shared" si="28"/>
        <v>20441614.077389676</v>
      </c>
      <c r="Q79" s="155">
        <f t="shared" si="28"/>
        <v>20867036.803636067</v>
      </c>
      <c r="R79" s="155">
        <f t="shared" si="28"/>
        <v>21302718.041232619</v>
      </c>
      <c r="S79" s="213">
        <f t="shared" si="28"/>
        <v>0</v>
      </c>
    </row>
    <row r="80" spans="1:19" ht="13.5" x14ac:dyDescent="0.3">
      <c r="A80" s="112"/>
      <c r="B80" s="114"/>
      <c r="C80" s="153"/>
      <c r="D80" s="153"/>
      <c r="E80" s="157"/>
      <c r="F80" s="157"/>
      <c r="G80" s="157"/>
      <c r="H80" s="155"/>
      <c r="I80" s="155"/>
      <c r="J80" s="155"/>
      <c r="K80" s="155"/>
      <c r="L80" s="155"/>
      <c r="M80" s="155"/>
      <c r="N80" s="155"/>
      <c r="O80" s="155"/>
      <c r="P80" s="155"/>
      <c r="Q80" s="155"/>
      <c r="R80" s="155"/>
      <c r="S80" s="213"/>
    </row>
    <row r="81" spans="1:19" ht="13.5" x14ac:dyDescent="0.3">
      <c r="A81" s="112"/>
      <c r="B81" s="115" t="s">
        <v>63</v>
      </c>
      <c r="C81" s="158">
        <f>$Q$6</f>
        <v>0.9</v>
      </c>
      <c r="D81" s="158"/>
      <c r="E81" s="154">
        <f>+SUM(H81:S81)</f>
        <v>4086405.160732504</v>
      </c>
      <c r="F81" s="154"/>
      <c r="G81" s="154"/>
      <c r="H81" s="159">
        <f t="shared" ref="H81:S81" si="29">+MIN(-(H76+H78),H75+H77)</f>
        <v>0</v>
      </c>
      <c r="I81" s="159">
        <f t="shared" si="29"/>
        <v>-2500000</v>
      </c>
      <c r="J81" s="159">
        <f t="shared" si="29"/>
        <v>-10000000</v>
      </c>
      <c r="K81" s="159">
        <f t="shared" si="29"/>
        <v>-2000000</v>
      </c>
      <c r="L81" s="159">
        <f t="shared" si="29"/>
        <v>-3000000</v>
      </c>
      <c r="M81" s="159">
        <f t="shared" si="29"/>
        <v>-400000</v>
      </c>
      <c r="N81" s="159">
        <f t="shared" si="29"/>
        <v>-100000</v>
      </c>
      <c r="O81" s="159">
        <f t="shared" si="29"/>
        <v>67500</v>
      </c>
      <c r="P81" s="159">
        <f t="shared" si="29"/>
        <v>67500</v>
      </c>
      <c r="Q81" s="159">
        <f t="shared" si="29"/>
        <v>67500</v>
      </c>
      <c r="R81" s="159">
        <f t="shared" si="29"/>
        <v>67500</v>
      </c>
      <c r="S81" s="214">
        <f t="shared" si="29"/>
        <v>21816405.160732504</v>
      </c>
    </row>
    <row r="82" spans="1:19" ht="13.5" x14ac:dyDescent="0.3">
      <c r="A82" s="112"/>
      <c r="B82" s="115" t="s">
        <v>125</v>
      </c>
      <c r="C82" s="160">
        <f>$N$6</f>
        <v>0.1</v>
      </c>
      <c r="D82" s="160"/>
      <c r="E82" s="154">
        <f>+SUM(H82:S82)</f>
        <v>2454045.0178591674</v>
      </c>
      <c r="F82" s="161"/>
      <c r="G82" s="161"/>
      <c r="H82" s="159">
        <f>-H78/$C$81*$C$82</f>
        <v>0</v>
      </c>
      <c r="I82" s="159">
        <f t="shared" ref="I82:S82" si="30">-I78/$C$81*$C$82</f>
        <v>0</v>
      </c>
      <c r="J82" s="159">
        <f t="shared" si="30"/>
        <v>0</v>
      </c>
      <c r="K82" s="159">
        <f t="shared" si="30"/>
        <v>0</v>
      </c>
      <c r="L82" s="159">
        <f t="shared" si="30"/>
        <v>0</v>
      </c>
      <c r="M82" s="159">
        <f t="shared" si="30"/>
        <v>0</v>
      </c>
      <c r="N82" s="159">
        <f t="shared" si="30"/>
        <v>0</v>
      </c>
      <c r="O82" s="159">
        <f t="shared" si="30"/>
        <v>7500</v>
      </c>
      <c r="P82" s="159">
        <f t="shared" si="30"/>
        <v>7500</v>
      </c>
      <c r="Q82" s="159">
        <f t="shared" si="30"/>
        <v>7500</v>
      </c>
      <c r="R82" s="159">
        <f t="shared" si="30"/>
        <v>7500</v>
      </c>
      <c r="S82" s="214">
        <f t="shared" si="30"/>
        <v>2424045.0178591674</v>
      </c>
    </row>
    <row r="83" spans="1:19" ht="13.5" x14ac:dyDescent="0.3">
      <c r="A83" s="112"/>
      <c r="B83" s="115" t="s">
        <v>126</v>
      </c>
      <c r="C83" s="158">
        <f>$O$6</f>
        <v>0</v>
      </c>
      <c r="D83" s="158"/>
      <c r="E83" s="154">
        <f>+SUM(H83:S83)</f>
        <v>0</v>
      </c>
      <c r="F83" s="161"/>
      <c r="G83" s="161"/>
      <c r="H83" s="159">
        <f>-H78/$C$81*$C$83</f>
        <v>0</v>
      </c>
      <c r="I83" s="159">
        <f t="shared" ref="I83:S83" si="31">-I78/$C$81*$C$83</f>
        <v>0</v>
      </c>
      <c r="J83" s="159">
        <f t="shared" si="31"/>
        <v>0</v>
      </c>
      <c r="K83" s="159">
        <f t="shared" si="31"/>
        <v>0</v>
      </c>
      <c r="L83" s="159">
        <f t="shared" si="31"/>
        <v>0</v>
      </c>
      <c r="M83" s="159">
        <f t="shared" si="31"/>
        <v>0</v>
      </c>
      <c r="N83" s="159">
        <f t="shared" si="31"/>
        <v>0</v>
      </c>
      <c r="O83" s="159">
        <f t="shared" si="31"/>
        <v>0</v>
      </c>
      <c r="P83" s="159">
        <f t="shared" si="31"/>
        <v>0</v>
      </c>
      <c r="Q83" s="159">
        <f t="shared" si="31"/>
        <v>0</v>
      </c>
      <c r="R83" s="159">
        <f t="shared" si="31"/>
        <v>0</v>
      </c>
      <c r="S83" s="214">
        <f t="shared" si="31"/>
        <v>0</v>
      </c>
    </row>
    <row r="84" spans="1:19" ht="13.5" x14ac:dyDescent="0.3">
      <c r="A84" s="112"/>
      <c r="B84" s="115"/>
      <c r="C84" s="158"/>
      <c r="D84" s="158"/>
      <c r="E84" s="154"/>
      <c r="F84" s="161"/>
      <c r="G84" s="161"/>
      <c r="H84" s="159"/>
      <c r="I84" s="159"/>
      <c r="J84" s="159"/>
      <c r="K84" s="159"/>
      <c r="L84" s="159"/>
      <c r="M84" s="159"/>
      <c r="N84" s="159"/>
      <c r="O84" s="159"/>
      <c r="P84" s="159"/>
      <c r="Q84" s="159"/>
      <c r="R84" s="159"/>
      <c r="S84" s="214"/>
    </row>
    <row r="85" spans="1:19" ht="13.5" x14ac:dyDescent="0.3">
      <c r="A85" s="112"/>
      <c r="B85" s="116" t="s">
        <v>64</v>
      </c>
      <c r="C85" s="163"/>
      <c r="D85" s="163"/>
      <c r="E85" s="140">
        <f>+SUM(H85:S85)</f>
        <v>15759549.821408328</v>
      </c>
      <c r="F85" s="140"/>
      <c r="G85" s="140"/>
      <c r="H85" s="164">
        <f>IF(H81&lt;0,0,H15-SUM(H81:H83))</f>
        <v>0</v>
      </c>
      <c r="I85" s="164">
        <f t="shared" ref="I85:S85" si="32">IF(I81&lt;0,0,I15-SUM(I81:I83))</f>
        <v>0</v>
      </c>
      <c r="J85" s="164">
        <f t="shared" si="32"/>
        <v>0</v>
      </c>
      <c r="K85" s="164">
        <f t="shared" si="32"/>
        <v>0</v>
      </c>
      <c r="L85" s="164">
        <f t="shared" si="32"/>
        <v>0</v>
      </c>
      <c r="M85" s="164">
        <f t="shared" si="32"/>
        <v>0</v>
      </c>
      <c r="N85" s="164">
        <f t="shared" si="32"/>
        <v>0</v>
      </c>
      <c r="O85" s="164">
        <f t="shared" si="32"/>
        <v>0</v>
      </c>
      <c r="P85" s="164">
        <f t="shared" si="32"/>
        <v>0</v>
      </c>
      <c r="Q85" s="164">
        <f t="shared" si="32"/>
        <v>0</v>
      </c>
      <c r="R85" s="164">
        <f t="shared" si="32"/>
        <v>0</v>
      </c>
      <c r="S85" s="215">
        <f t="shared" si="32"/>
        <v>15759549.821408328</v>
      </c>
    </row>
    <row r="86" spans="1:19" x14ac:dyDescent="0.3">
      <c r="B86" s="197"/>
      <c r="C86" s="195"/>
      <c r="D86" s="195"/>
      <c r="E86" s="196"/>
      <c r="F86" s="196"/>
      <c r="G86" s="196"/>
    </row>
    <row r="87" spans="1:19" x14ac:dyDescent="0.3">
      <c r="B87" s="148" t="s">
        <v>264</v>
      </c>
      <c r="C87" s="201">
        <f>(IRR(H87:S87,0.01)+1)^4-1</f>
        <v>9.9999999999998757E-2</v>
      </c>
      <c r="D87" s="200"/>
      <c r="F87" s="135"/>
      <c r="G87" s="135"/>
      <c r="H87" s="430">
        <f t="shared" ref="H87:S87" si="33">-(H76+H78)</f>
        <v>0</v>
      </c>
      <c r="I87" s="430">
        <f t="shared" si="33"/>
        <v>-2500000</v>
      </c>
      <c r="J87" s="430">
        <f t="shared" si="33"/>
        <v>-10000000</v>
      </c>
      <c r="K87" s="430">
        <f t="shared" si="33"/>
        <v>-2000000</v>
      </c>
      <c r="L87" s="430">
        <f t="shared" si="33"/>
        <v>-3000000</v>
      </c>
      <c r="M87" s="430">
        <f t="shared" si="33"/>
        <v>-400000</v>
      </c>
      <c r="N87" s="430">
        <f t="shared" si="33"/>
        <v>-100000</v>
      </c>
      <c r="O87" s="430">
        <f t="shared" si="33"/>
        <v>67500</v>
      </c>
      <c r="P87" s="430">
        <f t="shared" si="33"/>
        <v>67500</v>
      </c>
      <c r="Q87" s="430">
        <f t="shared" si="33"/>
        <v>67500</v>
      </c>
      <c r="R87" s="430">
        <f t="shared" si="33"/>
        <v>67500</v>
      </c>
      <c r="S87" s="430">
        <f t="shared" si="33"/>
        <v>21816405.160732504</v>
      </c>
    </row>
    <row r="88" spans="1:19" x14ac:dyDescent="0.3">
      <c r="B88" s="202"/>
    </row>
  </sheetData>
  <mergeCells count="11">
    <mergeCell ref="B44:G44"/>
    <mergeCell ref="B45:G45"/>
    <mergeCell ref="B70:G70"/>
    <mergeCell ref="B71:G71"/>
    <mergeCell ref="B72:G72"/>
    <mergeCell ref="J5:M5"/>
    <mergeCell ref="B11:D11"/>
    <mergeCell ref="B43:G43"/>
    <mergeCell ref="B22:G22"/>
    <mergeCell ref="B23:G23"/>
    <mergeCell ref="B24:G24"/>
  </mergeCells>
  <pageMargins left="0.34" right="0.31" top="0.3" bottom="0.42" header="0.25" footer="0.24"/>
  <pageSetup paperSize="5" scale="66" firstPageNumber="14" fitToHeight="2" orientation="landscape" useFirstPageNumber="1" horizontalDpi="1200" verticalDpi="1200" r:id="rId1"/>
  <headerFooter alignWithMargins="0">
    <oddFooter>&amp;L&amp;"Garamond,Regular"&amp;12Copyright 2009 Real Estate Financial Modeling, LLC. All rights reserved.&amp;R&amp;"Garamond,Regular"&amp;12Tab: &amp;A</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J19"/>
  <sheetViews>
    <sheetView zoomScaleNormal="100" workbookViewId="0"/>
  </sheetViews>
  <sheetFormatPr defaultColWidth="9" defaultRowHeight="18" x14ac:dyDescent="0.3"/>
  <cols>
    <col min="1" max="1" width="9" style="1"/>
    <col min="2" max="2" width="22.84375" style="1" customWidth="1"/>
    <col min="3" max="3" width="10" style="1" customWidth="1"/>
    <col min="4" max="4" width="2.15234375" style="1" customWidth="1"/>
    <col min="5" max="5" width="13.4609375" style="1" bestFit="1" customWidth="1"/>
    <col min="6" max="6" width="14.23046875" style="1" customWidth="1"/>
    <col min="7" max="10" width="15.23046875" style="1" customWidth="1"/>
    <col min="11" max="16384" width="9" style="1"/>
  </cols>
  <sheetData>
    <row r="2" spans="2:10" ht="23" x14ac:dyDescent="0.3">
      <c r="B2" s="2" t="s">
        <v>22</v>
      </c>
    </row>
    <row r="3" spans="2:10" x14ac:dyDescent="0.3">
      <c r="B3" s="1" t="s">
        <v>24</v>
      </c>
    </row>
    <row r="4" spans="2:10" x14ac:dyDescent="0.3">
      <c r="B4" s="1" t="s">
        <v>19</v>
      </c>
    </row>
    <row r="5" spans="2:10" x14ac:dyDescent="0.3">
      <c r="B5" s="1" t="s">
        <v>20</v>
      </c>
    </row>
    <row r="7" spans="2:10" x14ac:dyDescent="0.3">
      <c r="B7" s="1" t="s">
        <v>12</v>
      </c>
      <c r="E7" s="27">
        <v>15000000</v>
      </c>
    </row>
    <row r="8" spans="2:10" x14ac:dyDescent="0.3">
      <c r="C8" s="3"/>
      <c r="E8" s="4"/>
    </row>
    <row r="9" spans="2:10" x14ac:dyDescent="0.3">
      <c r="B9" s="1" t="s">
        <v>2</v>
      </c>
      <c r="C9" s="26">
        <v>0.1</v>
      </c>
      <c r="E9" s="3">
        <f>C9*$E$7</f>
        <v>1500000</v>
      </c>
    </row>
    <row r="10" spans="2:10" x14ac:dyDescent="0.3">
      <c r="B10" s="1" t="s">
        <v>1</v>
      </c>
      <c r="C10" s="24">
        <f>1-C9</f>
        <v>0.9</v>
      </c>
      <c r="E10" s="9">
        <f>C10*$E$7</f>
        <v>13500000</v>
      </c>
    </row>
    <row r="11" spans="2:10" x14ac:dyDescent="0.3">
      <c r="B11" s="28" t="s">
        <v>14</v>
      </c>
      <c r="C11" s="28"/>
      <c r="D11" s="28"/>
      <c r="E11" s="29">
        <f>SUM(E9:E10)</f>
        <v>15000000</v>
      </c>
    </row>
    <row r="12" spans="2:10" x14ac:dyDescent="0.3">
      <c r="F12" s="456"/>
      <c r="G12" s="456"/>
      <c r="H12" s="456"/>
      <c r="I12" s="456"/>
      <c r="J12" s="456"/>
    </row>
    <row r="13" spans="2:10" ht="18.75" customHeight="1" x14ac:dyDescent="0.4">
      <c r="B13" s="10" t="s">
        <v>17</v>
      </c>
      <c r="C13" s="11" t="s">
        <v>6</v>
      </c>
      <c r="D13" s="12"/>
      <c r="E13" s="91" t="s">
        <v>50</v>
      </c>
      <c r="F13" s="13">
        <v>0.08</v>
      </c>
      <c r="G13" s="14">
        <v>0.11</v>
      </c>
      <c r="H13" s="15">
        <v>0.13</v>
      </c>
      <c r="I13" s="16">
        <v>0.16</v>
      </c>
      <c r="J13" s="17">
        <f>I13</f>
        <v>0.16</v>
      </c>
    </row>
    <row r="14" spans="2:10" x14ac:dyDescent="0.4">
      <c r="B14" s="18" t="s">
        <v>8</v>
      </c>
      <c r="C14" s="19">
        <f>C9</f>
        <v>0.1</v>
      </c>
      <c r="D14" s="12"/>
      <c r="E14" s="90"/>
      <c r="F14" s="19">
        <f>$C$9</f>
        <v>0.1</v>
      </c>
      <c r="G14" s="19">
        <f>$C$9</f>
        <v>0.1</v>
      </c>
      <c r="H14" s="19">
        <f>$C$9</f>
        <v>0.1</v>
      </c>
      <c r="I14" s="19">
        <f>$C$9</f>
        <v>0.1</v>
      </c>
      <c r="J14" s="19">
        <f>$C$9</f>
        <v>0.1</v>
      </c>
    </row>
    <row r="15" spans="2:10" x14ac:dyDescent="0.4">
      <c r="B15" s="70" t="s">
        <v>9</v>
      </c>
      <c r="C15" s="20">
        <v>0</v>
      </c>
      <c r="D15" s="12"/>
      <c r="E15" s="457" t="s">
        <v>7</v>
      </c>
      <c r="F15" s="69">
        <v>0</v>
      </c>
      <c r="G15" s="69">
        <v>0.1</v>
      </c>
      <c r="H15" s="69">
        <v>0.2</v>
      </c>
      <c r="I15" s="69">
        <v>0.3</v>
      </c>
      <c r="J15" s="69">
        <v>0.4</v>
      </c>
    </row>
    <row r="16" spans="2:10" x14ac:dyDescent="0.4">
      <c r="B16" s="18" t="s">
        <v>47</v>
      </c>
      <c r="C16" s="20"/>
      <c r="D16" s="12"/>
      <c r="E16" s="457"/>
      <c r="F16" s="19">
        <f>SUM(F14:F15)</f>
        <v>0.1</v>
      </c>
      <c r="G16" s="19">
        <f>SUM(G14:G15)</f>
        <v>0.2</v>
      </c>
      <c r="H16" s="19">
        <f>SUM(H14:H15)</f>
        <v>0.30000000000000004</v>
      </c>
      <c r="I16" s="19">
        <f>SUM(I14:I15)</f>
        <v>0.4</v>
      </c>
      <c r="J16" s="19">
        <f>SUM(J14:J15)</f>
        <v>0.5</v>
      </c>
    </row>
    <row r="17" spans="2:10" x14ac:dyDescent="0.4">
      <c r="B17" s="18"/>
      <c r="C17" s="20"/>
      <c r="D17" s="12"/>
      <c r="E17" s="457"/>
      <c r="F17" s="20"/>
      <c r="G17" s="20"/>
      <c r="H17" s="20"/>
      <c r="I17" s="20"/>
      <c r="J17" s="20"/>
    </row>
    <row r="18" spans="2:10" x14ac:dyDescent="0.4">
      <c r="B18" s="18" t="s">
        <v>1</v>
      </c>
      <c r="C18" s="21">
        <f>1-C14-C15</f>
        <v>0.9</v>
      </c>
      <c r="D18" s="12"/>
      <c r="E18" s="457"/>
      <c r="F18" s="21">
        <f>$C$10-F15</f>
        <v>0.9</v>
      </c>
      <c r="G18" s="21">
        <f>$C$10-G15</f>
        <v>0.8</v>
      </c>
      <c r="H18" s="21">
        <f>$C$10-H15</f>
        <v>0.7</v>
      </c>
      <c r="I18" s="21">
        <f>$C$10-I15</f>
        <v>0.60000000000000009</v>
      </c>
      <c r="J18" s="21">
        <f>$C$10-J15</f>
        <v>0.5</v>
      </c>
    </row>
    <row r="19" spans="2:10" x14ac:dyDescent="0.4">
      <c r="B19" s="18" t="s">
        <v>0</v>
      </c>
      <c r="C19" s="22">
        <f>SUM(C14:C18)</f>
        <v>1</v>
      </c>
      <c r="D19" s="12"/>
      <c r="E19" s="457"/>
      <c r="F19" s="22">
        <f>SUM(F16:F18)</f>
        <v>1</v>
      </c>
      <c r="G19" s="22">
        <f>SUM(G16:G18)</f>
        <v>1</v>
      </c>
      <c r="H19" s="22">
        <f>SUM(H16:H18)</f>
        <v>1</v>
      </c>
      <c r="I19" s="22">
        <f>SUM(I16:I18)</f>
        <v>1</v>
      </c>
      <c r="J19" s="22">
        <f>SUM(J16:J18)</f>
        <v>1</v>
      </c>
    </row>
  </sheetData>
  <mergeCells count="2">
    <mergeCell ref="F12:J12"/>
    <mergeCell ref="E15:E19"/>
  </mergeCells>
  <pageMargins left="0.7" right="0.7" top="0.75" bottom="0.75" header="0.3" footer="0.3"/>
  <pageSetup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2:J30"/>
  <sheetViews>
    <sheetView zoomScaleNormal="100" workbookViewId="0"/>
  </sheetViews>
  <sheetFormatPr defaultColWidth="9" defaultRowHeight="18" x14ac:dyDescent="0.3"/>
  <cols>
    <col min="1" max="1" width="25" style="1" customWidth="1"/>
    <col min="2" max="2" width="28.23046875" style="1" customWidth="1"/>
    <col min="3" max="3" width="18.4609375" style="1" bestFit="1" customWidth="1"/>
    <col min="4" max="4" width="2.15234375" style="1" customWidth="1"/>
    <col min="5" max="5" width="13.4609375" style="1" bestFit="1" customWidth="1"/>
    <col min="6" max="6" width="14.23046875" style="1" customWidth="1"/>
    <col min="7" max="10" width="15.23046875" style="1" customWidth="1"/>
    <col min="11" max="16384" width="9" style="1"/>
  </cols>
  <sheetData>
    <row r="2" spans="1:10" ht="23" x14ac:dyDescent="0.3">
      <c r="B2" s="2" t="s">
        <v>23</v>
      </c>
    </row>
    <row r="3" spans="1:10" x14ac:dyDescent="0.3">
      <c r="B3" s="1" t="s">
        <v>21</v>
      </c>
    </row>
    <row r="4" spans="1:10" x14ac:dyDescent="0.3">
      <c r="B4" s="1" t="s">
        <v>19</v>
      </c>
    </row>
    <row r="5" spans="1:10" x14ac:dyDescent="0.3">
      <c r="B5" s="1" t="s">
        <v>20</v>
      </c>
    </row>
    <row r="7" spans="1:10" x14ac:dyDescent="0.3">
      <c r="B7" s="1" t="s">
        <v>12</v>
      </c>
      <c r="E7" s="27">
        <v>7500000</v>
      </c>
    </row>
    <row r="8" spans="1:10" x14ac:dyDescent="0.3">
      <c r="C8" s="3"/>
      <c r="E8" s="4"/>
    </row>
    <row r="9" spans="1:10" x14ac:dyDescent="0.3">
      <c r="B9" s="1" t="s">
        <v>2</v>
      </c>
      <c r="C9" s="3"/>
      <c r="E9" s="4"/>
    </row>
    <row r="10" spans="1:10" x14ac:dyDescent="0.4">
      <c r="B10" s="5" t="s">
        <v>3</v>
      </c>
      <c r="C10" s="24">
        <f>$C$12*F10</f>
        <v>2.0000000000000004E-2</v>
      </c>
      <c r="E10" s="3">
        <f>C10*$E$7</f>
        <v>150000.00000000003</v>
      </c>
      <c r="F10" s="26">
        <v>0.1</v>
      </c>
    </row>
    <row r="11" spans="1:10" x14ac:dyDescent="0.3">
      <c r="B11" s="6" t="s">
        <v>4</v>
      </c>
      <c r="C11" s="25">
        <f>$C$12*F11</f>
        <v>0.18000000000000002</v>
      </c>
      <c r="D11" s="7"/>
      <c r="E11" s="8">
        <f>C11*$E$7</f>
        <v>1350000.0000000002</v>
      </c>
      <c r="F11" s="24">
        <f>1-F10</f>
        <v>0.9</v>
      </c>
    </row>
    <row r="12" spans="1:10" x14ac:dyDescent="0.3">
      <c r="A12" s="101" t="s">
        <v>53</v>
      </c>
      <c r="B12" s="1" t="s">
        <v>13</v>
      </c>
      <c r="C12" s="26">
        <v>0.2</v>
      </c>
      <c r="E12" s="3">
        <f>C12*$E$7</f>
        <v>1500000</v>
      </c>
    </row>
    <row r="13" spans="1:10" x14ac:dyDescent="0.3">
      <c r="A13" s="101"/>
      <c r="B13" s="1" t="s">
        <v>5</v>
      </c>
      <c r="C13" s="24">
        <f>1-C12</f>
        <v>0.8</v>
      </c>
      <c r="E13" s="9">
        <f>C13*$E$7</f>
        <v>6000000</v>
      </c>
    </row>
    <row r="14" spans="1:10" x14ac:dyDescent="0.3">
      <c r="E14" s="3">
        <f>SUM(E12:E13)</f>
        <v>7500000</v>
      </c>
    </row>
    <row r="16" spans="1:10" ht="18.75" customHeight="1" x14ac:dyDescent="0.4">
      <c r="B16" s="10" t="s">
        <v>16</v>
      </c>
      <c r="C16" s="11" t="s">
        <v>6</v>
      </c>
      <c r="D16" s="12"/>
      <c r="E16" s="91" t="s">
        <v>50</v>
      </c>
      <c r="F16" s="13">
        <v>0.12</v>
      </c>
      <c r="G16" s="14">
        <v>0.18</v>
      </c>
      <c r="H16" s="30">
        <f>G16</f>
        <v>0.18</v>
      </c>
      <c r="I16" s="16"/>
      <c r="J16" s="17"/>
    </row>
    <row r="17" spans="2:10" x14ac:dyDescent="0.4">
      <c r="B17" s="18" t="s">
        <v>8</v>
      </c>
      <c r="C17" s="19">
        <f>C12</f>
        <v>0.2</v>
      </c>
      <c r="D17" s="12"/>
      <c r="E17" s="90"/>
      <c r="F17" s="19">
        <f>$C$12</f>
        <v>0.2</v>
      </c>
      <c r="G17" s="19">
        <f>$C$12</f>
        <v>0.2</v>
      </c>
      <c r="H17" s="19">
        <f>$C$12</f>
        <v>0.2</v>
      </c>
      <c r="I17" s="19"/>
      <c r="J17" s="19"/>
    </row>
    <row r="18" spans="2:10" x14ac:dyDescent="0.4">
      <c r="B18" s="70" t="s">
        <v>9</v>
      </c>
      <c r="C18" s="20">
        <v>0</v>
      </c>
      <c r="D18" s="12"/>
      <c r="E18" s="457" t="s">
        <v>7</v>
      </c>
      <c r="F18" s="69">
        <v>0</v>
      </c>
      <c r="G18" s="69">
        <v>0.15</v>
      </c>
      <c r="H18" s="69">
        <v>0.25</v>
      </c>
      <c r="I18" s="20"/>
      <c r="J18" s="20"/>
    </row>
    <row r="19" spans="2:10" x14ac:dyDescent="0.4">
      <c r="B19" s="18" t="s">
        <v>47</v>
      </c>
      <c r="C19" s="20"/>
      <c r="D19" s="12"/>
      <c r="E19" s="457"/>
      <c r="F19" s="19">
        <f>SUM(F17:F18)</f>
        <v>0.2</v>
      </c>
      <c r="G19" s="19">
        <f>SUM(G17:G18)</f>
        <v>0.35</v>
      </c>
      <c r="H19" s="19">
        <f>SUM(H17:H18)</f>
        <v>0.45</v>
      </c>
      <c r="I19" s="20"/>
      <c r="J19" s="20"/>
    </row>
    <row r="20" spans="2:10" x14ac:dyDescent="0.4">
      <c r="B20" s="18"/>
      <c r="C20" s="20"/>
      <c r="D20" s="12"/>
      <c r="E20" s="457"/>
      <c r="F20" s="20"/>
      <c r="G20" s="20"/>
      <c r="H20" s="20"/>
      <c r="I20" s="20"/>
      <c r="J20" s="20"/>
    </row>
    <row r="21" spans="2:10" x14ac:dyDescent="0.4">
      <c r="B21" s="18" t="s">
        <v>1</v>
      </c>
      <c r="C21" s="21">
        <f>1-C17-C18</f>
        <v>0.8</v>
      </c>
      <c r="D21" s="12"/>
      <c r="E21" s="457"/>
      <c r="F21" s="21">
        <f>$C$13-F18</f>
        <v>0.8</v>
      </c>
      <c r="G21" s="21">
        <f>$C$13-G18</f>
        <v>0.65</v>
      </c>
      <c r="H21" s="21">
        <f>$C$13-H18</f>
        <v>0.55000000000000004</v>
      </c>
      <c r="I21" s="21"/>
      <c r="J21" s="21"/>
    </row>
    <row r="22" spans="2:10" x14ac:dyDescent="0.4">
      <c r="B22" s="18" t="s">
        <v>0</v>
      </c>
      <c r="C22" s="22">
        <f>SUM(C17:C21)</f>
        <v>1</v>
      </c>
      <c r="D22" s="12"/>
      <c r="E22" s="457"/>
      <c r="F22" s="22">
        <f>SUM(F19:F21)</f>
        <v>1</v>
      </c>
      <c r="G22" s="22">
        <f>SUM(G19:G21)</f>
        <v>1</v>
      </c>
      <c r="H22" s="22">
        <f>SUM(H19:H21)</f>
        <v>1</v>
      </c>
      <c r="I22" s="22"/>
      <c r="J22" s="22"/>
    </row>
    <row r="24" spans="2:10" ht="18.75" customHeight="1" x14ac:dyDescent="0.4">
      <c r="B24" s="10" t="s">
        <v>15</v>
      </c>
      <c r="C24" s="11" t="s">
        <v>10</v>
      </c>
      <c r="D24" s="12"/>
      <c r="E24" s="91" t="s">
        <v>50</v>
      </c>
      <c r="F24" s="13">
        <v>0.15</v>
      </c>
      <c r="G24" s="14">
        <v>0.22</v>
      </c>
      <c r="H24" s="30">
        <f>G24</f>
        <v>0.22</v>
      </c>
      <c r="I24" s="16"/>
      <c r="J24" s="17"/>
    </row>
    <row r="25" spans="2:10" ht="18.75" customHeight="1" x14ac:dyDescent="0.4">
      <c r="B25" s="18" t="s">
        <v>3</v>
      </c>
      <c r="C25" s="19">
        <f>F10</f>
        <v>0.1</v>
      </c>
      <c r="D25" s="12"/>
      <c r="E25" s="90"/>
      <c r="F25" s="19">
        <f>$F$10</f>
        <v>0.1</v>
      </c>
      <c r="G25" s="19">
        <f>$F$10</f>
        <v>0.1</v>
      </c>
      <c r="H25" s="19">
        <f>$F$10</f>
        <v>0.1</v>
      </c>
      <c r="I25" s="19"/>
      <c r="J25" s="19"/>
    </row>
    <row r="26" spans="2:10" x14ac:dyDescent="0.4">
      <c r="B26" s="71" t="s">
        <v>11</v>
      </c>
      <c r="C26" s="20">
        <v>0</v>
      </c>
      <c r="D26" s="12"/>
      <c r="E26" s="457" t="s">
        <v>7</v>
      </c>
      <c r="F26" s="69">
        <v>0</v>
      </c>
      <c r="G26" s="69">
        <v>0.1</v>
      </c>
      <c r="H26" s="69">
        <v>0.15</v>
      </c>
      <c r="I26" s="20"/>
      <c r="J26" s="20"/>
    </row>
    <row r="27" spans="2:10" x14ac:dyDescent="0.4">
      <c r="B27" s="23" t="s">
        <v>48</v>
      </c>
      <c r="C27" s="20"/>
      <c r="D27" s="12"/>
      <c r="E27" s="457"/>
      <c r="F27" s="19">
        <f>SUM(F25:F26)</f>
        <v>0.1</v>
      </c>
      <c r="G27" s="19">
        <f>SUM(G25:G26)</f>
        <v>0.2</v>
      </c>
      <c r="H27" s="19">
        <f>SUM(H25:H26)</f>
        <v>0.25</v>
      </c>
      <c r="I27" s="20"/>
      <c r="J27" s="20"/>
    </row>
    <row r="28" spans="2:10" x14ac:dyDescent="0.4">
      <c r="B28" s="23"/>
      <c r="C28" s="20"/>
      <c r="D28" s="12"/>
      <c r="E28" s="457"/>
      <c r="F28" s="20"/>
      <c r="G28" s="20"/>
      <c r="H28" s="20"/>
      <c r="I28" s="20"/>
      <c r="J28" s="20"/>
    </row>
    <row r="29" spans="2:10" x14ac:dyDescent="0.4">
      <c r="B29" s="18" t="s">
        <v>4</v>
      </c>
      <c r="C29" s="21">
        <f>1-C25-C26</f>
        <v>0.9</v>
      </c>
      <c r="D29" s="12"/>
      <c r="E29" s="457"/>
      <c r="F29" s="21">
        <f>$F$11-F26</f>
        <v>0.9</v>
      </c>
      <c r="G29" s="21">
        <f>$F$11-G26</f>
        <v>0.8</v>
      </c>
      <c r="H29" s="21">
        <f>$F$11-H26</f>
        <v>0.75</v>
      </c>
      <c r="I29" s="21"/>
      <c r="J29" s="21"/>
    </row>
    <row r="30" spans="2:10" x14ac:dyDescent="0.4">
      <c r="B30" s="18" t="s">
        <v>0</v>
      </c>
      <c r="C30" s="22">
        <f>SUM(C25:C29)</f>
        <v>1</v>
      </c>
      <c r="D30" s="12"/>
      <c r="E30" s="457"/>
      <c r="F30" s="22">
        <f>SUM(F27:F29)</f>
        <v>1</v>
      </c>
      <c r="G30" s="22">
        <f>SUM(G27:G29)</f>
        <v>1</v>
      </c>
      <c r="H30" s="22">
        <f>SUM(H27:H29)</f>
        <v>1</v>
      </c>
      <c r="I30" s="22"/>
      <c r="J30" s="22"/>
    </row>
  </sheetData>
  <mergeCells count="2">
    <mergeCell ref="E18:E22"/>
    <mergeCell ref="E26:E30"/>
  </mergeCells>
  <pageMargins left="0.7" right="0.7" top="0.75" bottom="0.75" header="0.3" footer="0.3"/>
  <pageSetup scale="7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J33"/>
  <sheetViews>
    <sheetView zoomScaleNormal="100" workbookViewId="0"/>
  </sheetViews>
  <sheetFormatPr defaultColWidth="9" defaultRowHeight="18" x14ac:dyDescent="0.3"/>
  <cols>
    <col min="1" max="1" width="9" style="1"/>
    <col min="2" max="2" width="29.765625" style="1" customWidth="1"/>
    <col min="3" max="3" width="18.4609375" style="1" bestFit="1" customWidth="1"/>
    <col min="4" max="4" width="2.15234375" style="1" customWidth="1"/>
    <col min="5" max="5" width="13.4609375" style="1" bestFit="1" customWidth="1"/>
    <col min="6" max="6" width="14.23046875" style="1" customWidth="1"/>
    <col min="7" max="10" width="15.23046875" style="1" customWidth="1"/>
    <col min="11" max="16384" width="9" style="1"/>
  </cols>
  <sheetData>
    <row r="2" spans="2:10" ht="23" x14ac:dyDescent="0.3">
      <c r="B2" s="2" t="s">
        <v>28</v>
      </c>
    </row>
    <row r="3" spans="2:10" x14ac:dyDescent="0.3">
      <c r="B3" s="43"/>
    </row>
    <row r="4" spans="2:10" x14ac:dyDescent="0.3">
      <c r="B4" s="1" t="s">
        <v>12</v>
      </c>
      <c r="E4" s="27">
        <v>1000000</v>
      </c>
    </row>
    <row r="5" spans="2:10" x14ac:dyDescent="0.3">
      <c r="B5" s="43"/>
    </row>
    <row r="6" spans="2:10" x14ac:dyDescent="0.3">
      <c r="B6" s="1" t="s">
        <v>2</v>
      </c>
      <c r="C6" s="26">
        <v>0.2</v>
      </c>
      <c r="E6" s="3">
        <f>C6*$E$4</f>
        <v>200000</v>
      </c>
    </row>
    <row r="7" spans="2:10" x14ac:dyDescent="0.3">
      <c r="B7" s="1" t="s">
        <v>1</v>
      </c>
      <c r="C7" s="24">
        <f>1-C6</f>
        <v>0.8</v>
      </c>
      <c r="E7" s="9">
        <f>C7*$E$4</f>
        <v>800000</v>
      </c>
    </row>
    <row r="8" spans="2:10" x14ac:dyDescent="0.3">
      <c r="B8" s="28" t="s">
        <v>14</v>
      </c>
      <c r="C8" s="28"/>
      <c r="D8" s="28"/>
      <c r="E8" s="29">
        <f>SUM(E6:E7)</f>
        <v>1000000</v>
      </c>
    </row>
    <row r="10" spans="2:10" x14ac:dyDescent="0.3">
      <c r="B10" s="44" t="s">
        <v>29</v>
      </c>
    </row>
    <row r="11" spans="2:10" x14ac:dyDescent="0.3">
      <c r="B11" s="23" t="s">
        <v>31</v>
      </c>
    </row>
    <row r="12" spans="2:10" x14ac:dyDescent="0.3">
      <c r="B12" s="23" t="s">
        <v>25</v>
      </c>
    </row>
    <row r="13" spans="2:10" x14ac:dyDescent="0.3">
      <c r="B13" s="28"/>
      <c r="C13" s="28"/>
      <c r="D13" s="28"/>
      <c r="E13" s="29"/>
    </row>
    <row r="14" spans="2:10" ht="18.75" customHeight="1" x14ac:dyDescent="0.4">
      <c r="B14" s="47" t="s">
        <v>17</v>
      </c>
      <c r="C14" s="11" t="s">
        <v>6</v>
      </c>
      <c r="D14" s="12"/>
      <c r="E14" s="91" t="s">
        <v>50</v>
      </c>
      <c r="F14" s="13">
        <v>0.09</v>
      </c>
      <c r="G14" s="45">
        <f>F14</f>
        <v>0.09</v>
      </c>
      <c r="H14" s="15"/>
      <c r="I14" s="16"/>
      <c r="J14" s="17"/>
    </row>
    <row r="15" spans="2:10" x14ac:dyDescent="0.4">
      <c r="B15" s="5" t="s">
        <v>8</v>
      </c>
      <c r="C15" s="19">
        <f>C6</f>
        <v>0.2</v>
      </c>
      <c r="D15" s="12"/>
      <c r="E15" s="90"/>
      <c r="F15" s="19">
        <f>$C$6</f>
        <v>0.2</v>
      </c>
      <c r="G15" s="19">
        <f>$C$6</f>
        <v>0.2</v>
      </c>
      <c r="H15" s="19"/>
      <c r="I15" s="19"/>
      <c r="J15" s="19"/>
    </row>
    <row r="16" spans="2:10" x14ac:dyDescent="0.4">
      <c r="B16" s="72" t="s">
        <v>9</v>
      </c>
      <c r="C16" s="20">
        <v>0</v>
      </c>
      <c r="D16" s="12"/>
      <c r="E16" s="457" t="s">
        <v>7</v>
      </c>
      <c r="F16" s="69">
        <v>0</v>
      </c>
      <c r="G16" s="69">
        <v>0.15</v>
      </c>
      <c r="H16" s="46"/>
      <c r="I16" s="20"/>
      <c r="J16" s="20"/>
    </row>
    <row r="17" spans="2:10" x14ac:dyDescent="0.4">
      <c r="B17" s="5" t="s">
        <v>47</v>
      </c>
      <c r="C17" s="20"/>
      <c r="D17" s="12"/>
      <c r="E17" s="457"/>
      <c r="F17" s="19">
        <f>SUM(F15:F16)</f>
        <v>0.2</v>
      </c>
      <c r="G17" s="19">
        <f>SUM(G15:G16)</f>
        <v>0.35</v>
      </c>
      <c r="H17" s="46"/>
      <c r="I17" s="20"/>
      <c r="J17" s="20"/>
    </row>
    <row r="18" spans="2:10" x14ac:dyDescent="0.4">
      <c r="B18" s="5"/>
      <c r="C18" s="20"/>
      <c r="D18" s="12"/>
      <c r="E18" s="457"/>
      <c r="F18" s="20"/>
      <c r="G18" s="20"/>
      <c r="H18" s="46"/>
      <c r="I18" s="20"/>
      <c r="J18" s="20"/>
    </row>
    <row r="19" spans="2:10" x14ac:dyDescent="0.4">
      <c r="B19" s="5" t="s">
        <v>1</v>
      </c>
      <c r="C19" s="21">
        <f>1-C15-C16</f>
        <v>0.8</v>
      </c>
      <c r="D19" s="12"/>
      <c r="E19" s="457"/>
      <c r="F19" s="21">
        <f>$C$7-F16</f>
        <v>0.8</v>
      </c>
      <c r="G19" s="21">
        <f>$C$7-G16</f>
        <v>0.65</v>
      </c>
      <c r="H19" s="21"/>
      <c r="I19" s="21"/>
      <c r="J19" s="21"/>
    </row>
    <row r="20" spans="2:10" x14ac:dyDescent="0.4">
      <c r="B20" s="5" t="s">
        <v>0</v>
      </c>
      <c r="C20" s="22">
        <f>SUM(C15:C19)</f>
        <v>1</v>
      </c>
      <c r="D20" s="12"/>
      <c r="E20" s="457"/>
      <c r="F20" s="22">
        <f>SUM(F17:F19)</f>
        <v>1</v>
      </c>
      <c r="G20" s="22">
        <f>SUM(G17:G19)</f>
        <v>1</v>
      </c>
      <c r="H20" s="22"/>
      <c r="I20" s="22"/>
      <c r="J20" s="22"/>
    </row>
    <row r="21" spans="2:10" x14ac:dyDescent="0.3">
      <c r="B21" s="23"/>
    </row>
    <row r="22" spans="2:10" x14ac:dyDescent="0.3">
      <c r="B22" s="44" t="s">
        <v>30</v>
      </c>
    </row>
    <row r="23" spans="2:10" x14ac:dyDescent="0.3">
      <c r="B23" s="23" t="s">
        <v>27</v>
      </c>
    </row>
    <row r="24" spans="2:10" x14ac:dyDescent="0.3">
      <c r="B24" s="23" t="s">
        <v>26</v>
      </c>
    </row>
    <row r="25" spans="2:10" x14ac:dyDescent="0.3">
      <c r="B25" s="23" t="s">
        <v>32</v>
      </c>
    </row>
    <row r="27" spans="2:10" x14ac:dyDescent="0.4">
      <c r="B27" s="10"/>
      <c r="C27" s="11"/>
      <c r="D27" s="12"/>
      <c r="E27" s="458"/>
      <c r="F27" s="13"/>
      <c r="G27" s="14"/>
      <c r="H27" s="15"/>
      <c r="I27" s="16"/>
      <c r="J27" s="17"/>
    </row>
    <row r="28" spans="2:10" x14ac:dyDescent="0.4">
      <c r="B28" s="18"/>
      <c r="C28" s="19"/>
      <c r="D28" s="12"/>
      <c r="E28" s="459"/>
      <c r="F28" s="19"/>
      <c r="G28" s="19"/>
      <c r="H28" s="19"/>
      <c r="I28" s="19"/>
      <c r="J28" s="19"/>
    </row>
    <row r="29" spans="2:10" x14ac:dyDescent="0.4">
      <c r="B29" s="18"/>
      <c r="C29" s="20"/>
      <c r="D29" s="12"/>
      <c r="E29" s="459"/>
      <c r="F29" s="20"/>
      <c r="G29" s="20"/>
      <c r="H29" s="20"/>
      <c r="I29" s="20"/>
      <c r="J29" s="20"/>
    </row>
    <row r="30" spans="2:10" x14ac:dyDescent="0.4">
      <c r="B30" s="18"/>
      <c r="C30" s="21"/>
      <c r="D30" s="12"/>
      <c r="E30" s="459"/>
      <c r="F30" s="21"/>
      <c r="G30" s="21"/>
      <c r="H30" s="21"/>
      <c r="I30" s="21"/>
      <c r="J30" s="21"/>
    </row>
    <row r="31" spans="2:10" x14ac:dyDescent="0.4">
      <c r="B31" s="18"/>
      <c r="C31" s="22"/>
      <c r="D31" s="12"/>
      <c r="E31" s="459"/>
      <c r="F31" s="22"/>
      <c r="G31" s="22"/>
      <c r="H31" s="22"/>
      <c r="I31" s="22"/>
      <c r="J31" s="22"/>
    </row>
    <row r="33" spans="2:3" x14ac:dyDescent="0.3">
      <c r="B33" s="28"/>
      <c r="C33" s="26"/>
    </row>
  </sheetData>
  <mergeCells count="2">
    <mergeCell ref="E27:E31"/>
    <mergeCell ref="E16:E20"/>
  </mergeCells>
  <pageMargins left="0.7" right="0.7" top="0.75" bottom="0.75" header="0.3" footer="0.3"/>
  <pageSetup scale="7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H28"/>
  <sheetViews>
    <sheetView zoomScale="140" zoomScaleNormal="140" workbookViewId="0"/>
  </sheetViews>
  <sheetFormatPr defaultColWidth="9" defaultRowHeight="18" x14ac:dyDescent="0.4"/>
  <cols>
    <col min="1" max="1" width="5.3828125" style="35" customWidth="1"/>
    <col min="2" max="2" width="31" style="35" customWidth="1"/>
    <col min="3" max="3" width="13.15234375" style="35" customWidth="1"/>
    <col min="4" max="7" width="12" style="35" customWidth="1"/>
    <col min="8" max="16384" width="9" style="35"/>
  </cols>
  <sheetData>
    <row r="2" spans="2:8" ht="23" x14ac:dyDescent="0.5">
      <c r="B2" s="34" t="s">
        <v>51</v>
      </c>
    </row>
    <row r="3" spans="2:8" x14ac:dyDescent="0.4">
      <c r="B3" s="35" t="s">
        <v>52</v>
      </c>
    </row>
    <row r="5" spans="2:8" x14ac:dyDescent="0.4">
      <c r="B5" s="36" t="s">
        <v>239</v>
      </c>
      <c r="C5" s="398">
        <v>10000</v>
      </c>
    </row>
    <row r="6" spans="2:8" x14ac:dyDescent="0.4">
      <c r="B6" s="37" t="s">
        <v>2</v>
      </c>
      <c r="C6" s="105">
        <v>0.1</v>
      </c>
      <c r="D6" s="405">
        <f>C6*C5</f>
        <v>1000</v>
      </c>
    </row>
    <row r="7" spans="2:8" x14ac:dyDescent="0.4">
      <c r="B7" s="37" t="s">
        <v>1</v>
      </c>
      <c r="C7" s="106">
        <v>0.9</v>
      </c>
      <c r="D7" s="405">
        <f>C7*C5</f>
        <v>9000</v>
      </c>
    </row>
    <row r="9" spans="2:8" x14ac:dyDescent="0.4">
      <c r="B9" s="36" t="s">
        <v>242</v>
      </c>
    </row>
    <row r="10" spans="2:8" x14ac:dyDescent="0.4">
      <c r="B10" s="50"/>
      <c r="C10" s="51">
        <v>0</v>
      </c>
      <c r="D10" s="51">
        <f>C10+1</f>
        <v>1</v>
      </c>
      <c r="E10" s="51">
        <f>D10+1</f>
        <v>2</v>
      </c>
      <c r="F10" s="51">
        <f>E10+1</f>
        <v>3</v>
      </c>
      <c r="G10" s="52">
        <f>F10+1</f>
        <v>4</v>
      </c>
    </row>
    <row r="11" spans="2:8" x14ac:dyDescent="0.4">
      <c r="B11" s="53" t="s">
        <v>240</v>
      </c>
      <c r="C11" s="399">
        <f>-C5</f>
        <v>-10000</v>
      </c>
      <c r="D11" s="399">
        <v>500</v>
      </c>
      <c r="E11" s="399">
        <v>525</v>
      </c>
      <c r="F11" s="399">
        <v>550</v>
      </c>
      <c r="G11" s="400">
        <v>13000</v>
      </c>
    </row>
    <row r="12" spans="2:8" x14ac:dyDescent="0.4">
      <c r="B12" s="54" t="s">
        <v>33</v>
      </c>
      <c r="C12" s="55">
        <f>IRR(C11:G11,0.2)</f>
        <v>0.10528512511700394</v>
      </c>
      <c r="D12" s="56"/>
      <c r="E12" s="56"/>
      <c r="F12" s="56"/>
      <c r="G12" s="57"/>
    </row>
    <row r="13" spans="2:8" x14ac:dyDescent="0.4">
      <c r="B13" s="58" t="s">
        <v>34</v>
      </c>
      <c r="C13" s="401">
        <f>SUM(C11:G11)</f>
        <v>4575</v>
      </c>
      <c r="D13" s="59"/>
      <c r="E13" s="59"/>
      <c r="F13" s="59"/>
      <c r="G13" s="60"/>
    </row>
    <row r="14" spans="2:8" x14ac:dyDescent="0.4">
      <c r="C14" s="48"/>
    </row>
    <row r="15" spans="2:8" x14ac:dyDescent="0.4">
      <c r="B15" s="36" t="s">
        <v>56</v>
      </c>
      <c r="G15" s="49"/>
    </row>
    <row r="16" spans="2:8" ht="25.5" customHeight="1" x14ac:dyDescent="0.4">
      <c r="B16" s="102"/>
      <c r="C16" s="51">
        <v>0</v>
      </c>
      <c r="D16" s="51">
        <f>C16+1</f>
        <v>1</v>
      </c>
      <c r="E16" s="51">
        <f>D16+1</f>
        <v>2</v>
      </c>
      <c r="F16" s="51">
        <f>E16+1</f>
        <v>3</v>
      </c>
      <c r="G16" s="52">
        <f>F16+1</f>
        <v>4</v>
      </c>
      <c r="H16" s="56"/>
    </row>
    <row r="17" spans="2:8" x14ac:dyDescent="0.4">
      <c r="B17" s="54" t="s">
        <v>241</v>
      </c>
      <c r="C17" s="399">
        <f>-D7</f>
        <v>-9000</v>
      </c>
      <c r="D17" s="399">
        <f>D11*$C$7</f>
        <v>450</v>
      </c>
      <c r="E17" s="399">
        <f>E11*$C$7</f>
        <v>472.5</v>
      </c>
      <c r="F17" s="399">
        <f>F11*$C$7</f>
        <v>495</v>
      </c>
      <c r="G17" s="400">
        <v>11700</v>
      </c>
      <c r="H17" s="56"/>
    </row>
    <row r="18" spans="2:8" x14ac:dyDescent="0.4">
      <c r="B18" s="58" t="s">
        <v>33</v>
      </c>
      <c r="C18" s="103">
        <f>IRR(C17:G17,0.1)</f>
        <v>0.10528512511596522</v>
      </c>
      <c r="D18" s="59"/>
      <c r="E18" s="59"/>
      <c r="F18" s="59"/>
      <c r="G18" s="104"/>
      <c r="H18" s="56"/>
    </row>
    <row r="19" spans="2:8" ht="18.5" thickBot="1" x14ac:dyDescent="0.45">
      <c r="G19" s="49"/>
    </row>
    <row r="20" spans="2:8" x14ac:dyDescent="0.4">
      <c r="B20" s="61" t="s">
        <v>35</v>
      </c>
      <c r="C20" s="402">
        <f>SUM(C17:G17)</f>
        <v>4117.5</v>
      </c>
      <c r="D20" s="404">
        <f>C20/C13</f>
        <v>0.9</v>
      </c>
      <c r="G20" s="49"/>
    </row>
    <row r="21" spans="2:8" ht="18.5" thickBot="1" x14ac:dyDescent="0.45">
      <c r="B21" s="62" t="s">
        <v>36</v>
      </c>
      <c r="C21" s="403">
        <f>SUM(D11:G11)-SUM(D17:G17)-D6</f>
        <v>457.5</v>
      </c>
      <c r="D21" s="404">
        <f>C21/C13</f>
        <v>0.1</v>
      </c>
      <c r="G21" s="49"/>
    </row>
    <row r="22" spans="2:8" x14ac:dyDescent="0.4">
      <c r="G22" s="49"/>
    </row>
    <row r="23" spans="2:8" x14ac:dyDescent="0.4">
      <c r="G23" s="49"/>
    </row>
    <row r="24" spans="2:8" x14ac:dyDescent="0.4">
      <c r="G24" s="49"/>
    </row>
    <row r="25" spans="2:8" x14ac:dyDescent="0.4">
      <c r="G25" s="49"/>
    </row>
    <row r="26" spans="2:8" x14ac:dyDescent="0.4">
      <c r="G26" s="49"/>
    </row>
    <row r="27" spans="2:8" x14ac:dyDescent="0.4">
      <c r="G27" s="49"/>
    </row>
    <row r="28" spans="2:8" x14ac:dyDescent="0.4">
      <c r="G28" s="49"/>
    </row>
  </sheetData>
  <conditionalFormatting sqref="D21">
    <cfRule type="cellIs" dxfId="0" priority="1" stopIfTrue="1" operator="lessThan">
      <formula>0</formula>
    </cfRule>
  </conditionalFormatting>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B2:R35"/>
  <sheetViews>
    <sheetView zoomScaleNormal="100" workbookViewId="0"/>
  </sheetViews>
  <sheetFormatPr defaultColWidth="9" defaultRowHeight="18" x14ac:dyDescent="0.4"/>
  <cols>
    <col min="1" max="1" width="2.61328125" style="31" customWidth="1"/>
    <col min="2" max="2" width="37.84375" style="31" customWidth="1"/>
    <col min="3" max="3" width="2.61328125" style="31" customWidth="1"/>
    <col min="4" max="6" width="14.4609375" style="31" customWidth="1"/>
    <col min="7" max="7" width="15.15234375" style="31" customWidth="1"/>
    <col min="8" max="12" width="11.84375" style="31" customWidth="1"/>
    <col min="13" max="15" width="9" style="31"/>
    <col min="16" max="16" width="18.765625" style="31" customWidth="1"/>
    <col min="17" max="16384" width="9" style="31"/>
  </cols>
  <sheetData>
    <row r="2" spans="2:18" ht="23" x14ac:dyDescent="0.5">
      <c r="B2" s="33" t="s">
        <v>243</v>
      </c>
    </row>
    <row r="3" spans="2:18" x14ac:dyDescent="0.4">
      <c r="B3" s="31" t="s">
        <v>175</v>
      </c>
    </row>
    <row r="4" spans="2:18" x14ac:dyDescent="0.4">
      <c r="B4" s="31" t="s">
        <v>174</v>
      </c>
    </row>
    <row r="5" spans="2:18" x14ac:dyDescent="0.4">
      <c r="P5" s="32" t="s">
        <v>45</v>
      </c>
    </row>
    <row r="6" spans="2:18" x14ac:dyDescent="0.4">
      <c r="B6" s="31" t="s">
        <v>39</v>
      </c>
      <c r="D6" s="108"/>
      <c r="E6" s="108"/>
      <c r="F6" s="108"/>
      <c r="G6" s="108"/>
      <c r="P6" s="92" t="s">
        <v>46</v>
      </c>
      <c r="Q6" s="93"/>
      <c r="R6" s="94"/>
    </row>
    <row r="7" spans="2:18" x14ac:dyDescent="0.4">
      <c r="B7" s="67" t="s">
        <v>40</v>
      </c>
      <c r="D7" s="63"/>
      <c r="E7" s="63"/>
      <c r="F7" s="110">
        <f>D7*D6</f>
        <v>0</v>
      </c>
      <c r="P7" s="95" t="s">
        <v>44</v>
      </c>
      <c r="Q7" s="96"/>
      <c r="R7" s="97"/>
    </row>
    <row r="8" spans="2:18" x14ac:dyDescent="0.4">
      <c r="B8" s="67" t="s">
        <v>41</v>
      </c>
      <c r="D8" s="68">
        <f>1-D7</f>
        <v>1</v>
      </c>
      <c r="E8" s="68"/>
      <c r="F8" s="110">
        <f>D8*D6</f>
        <v>0</v>
      </c>
      <c r="P8" s="95" t="s">
        <v>96</v>
      </c>
      <c r="Q8" s="96"/>
      <c r="R8" s="97"/>
    </row>
    <row r="9" spans="2:18" x14ac:dyDescent="0.4">
      <c r="B9" s="31" t="s">
        <v>97</v>
      </c>
      <c r="D9" s="109"/>
      <c r="E9" s="109"/>
      <c r="F9" s="109"/>
      <c r="G9" s="109"/>
      <c r="P9" s="98" t="s">
        <v>95</v>
      </c>
      <c r="Q9" s="99"/>
      <c r="R9" s="100"/>
    </row>
    <row r="10" spans="2:18" x14ac:dyDescent="0.4">
      <c r="B10" s="31" t="s">
        <v>100</v>
      </c>
      <c r="D10" s="438" t="s">
        <v>96</v>
      </c>
      <c r="E10" s="438"/>
      <c r="F10" s="438"/>
      <c r="G10" s="438"/>
    </row>
    <row r="11" spans="2:18" x14ac:dyDescent="0.4">
      <c r="D11" s="344"/>
      <c r="E11" s="360"/>
      <c r="F11" s="344"/>
      <c r="G11" s="344"/>
    </row>
    <row r="12" spans="2:18" x14ac:dyDescent="0.4">
      <c r="E12" s="66"/>
      <c r="F12" s="235" t="s">
        <v>101</v>
      </c>
      <c r="G12" s="64">
        <v>1</v>
      </c>
      <c r="H12" s="64">
        <f>G12+1</f>
        <v>2</v>
      </c>
      <c r="I12" s="64">
        <f>H12+1</f>
        <v>3</v>
      </c>
      <c r="J12" s="64">
        <f>I12+1</f>
        <v>4</v>
      </c>
      <c r="K12" s="64">
        <f>J12+1</f>
        <v>5</v>
      </c>
    </row>
    <row r="13" spans="2:18" x14ac:dyDescent="0.4">
      <c r="E13" s="361" t="s">
        <v>0</v>
      </c>
      <c r="G13" s="64"/>
      <c r="H13" s="64"/>
      <c r="I13" s="64"/>
      <c r="J13" s="64"/>
      <c r="K13" s="64"/>
    </row>
    <row r="14" spans="2:18" x14ac:dyDescent="0.4">
      <c r="B14" s="32" t="s">
        <v>191</v>
      </c>
      <c r="C14" s="32"/>
      <c r="D14" s="32"/>
      <c r="E14" s="362">
        <f>SUM(F14:K14)</f>
        <v>1860000</v>
      </c>
      <c r="F14" s="234">
        <f>-D6</f>
        <v>0</v>
      </c>
      <c r="G14" s="65">
        <v>60000</v>
      </c>
      <c r="H14" s="65">
        <v>80000</v>
      </c>
      <c r="I14" s="65">
        <v>100000</v>
      </c>
      <c r="J14" s="65">
        <v>120000</v>
      </c>
      <c r="K14" s="65">
        <v>1500000</v>
      </c>
    </row>
    <row r="15" spans="2:18" x14ac:dyDescent="0.4">
      <c r="E15" s="66"/>
      <c r="G15" s="64"/>
      <c r="H15" s="64"/>
      <c r="I15" s="64"/>
      <c r="J15" s="64"/>
      <c r="K15" s="64"/>
    </row>
    <row r="16" spans="2:18" x14ac:dyDescent="0.4">
      <c r="B16" s="31" t="s">
        <v>159</v>
      </c>
      <c r="E16" s="66"/>
      <c r="G16" s="230">
        <f>$D$6</f>
        <v>0</v>
      </c>
      <c r="H16" s="230">
        <f>$D$6</f>
        <v>0</v>
      </c>
      <c r="I16" s="230">
        <f>$D$6</f>
        <v>0</v>
      </c>
      <c r="J16" s="230">
        <f>$D$6</f>
        <v>0</v>
      </c>
      <c r="K16" s="230">
        <f>$D$6</f>
        <v>0</v>
      </c>
    </row>
    <row r="17" spans="2:11" x14ac:dyDescent="0.4">
      <c r="E17" s="66"/>
      <c r="G17" s="230"/>
      <c r="H17" s="230"/>
      <c r="I17" s="230"/>
      <c r="J17" s="230"/>
      <c r="K17" s="230"/>
    </row>
    <row r="18" spans="2:11" x14ac:dyDescent="0.4">
      <c r="B18" s="345" t="s">
        <v>186</v>
      </c>
      <c r="E18" s="66"/>
      <c r="G18" s="230"/>
      <c r="H18" s="230"/>
      <c r="I18" s="230"/>
      <c r="J18" s="230"/>
      <c r="K18" s="230"/>
    </row>
    <row r="19" spans="2:11" x14ac:dyDescent="0.4">
      <c r="E19" s="361" t="s">
        <v>0</v>
      </c>
      <c r="G19" s="64"/>
      <c r="H19" s="64"/>
      <c r="I19" s="64"/>
      <c r="J19" s="64"/>
      <c r="K19" s="64"/>
    </row>
    <row r="20" spans="2:11" x14ac:dyDescent="0.4">
      <c r="B20" s="31" t="s">
        <v>190</v>
      </c>
      <c r="E20" s="362">
        <f>SUM(F20:K20)</f>
        <v>0</v>
      </c>
      <c r="G20" s="238"/>
      <c r="H20" s="238"/>
      <c r="I20" s="238"/>
      <c r="J20" s="238"/>
      <c r="K20" s="238"/>
    </row>
    <row r="21" spans="2:11" x14ac:dyDescent="0.4">
      <c r="B21" s="67" t="s">
        <v>40</v>
      </c>
      <c r="D21" s="236">
        <f>D7</f>
        <v>0</v>
      </c>
      <c r="E21" s="362">
        <f>SUM(F21:K21)</f>
        <v>0</v>
      </c>
      <c r="F21" s="63"/>
      <c r="G21" s="238"/>
      <c r="H21" s="238"/>
      <c r="I21" s="238"/>
      <c r="J21" s="238"/>
      <c r="K21" s="238"/>
    </row>
    <row r="22" spans="2:11" x14ac:dyDescent="0.4">
      <c r="B22" s="67" t="s">
        <v>41</v>
      </c>
      <c r="D22" s="236">
        <f>D8</f>
        <v>1</v>
      </c>
      <c r="E22" s="362">
        <f>SUM(F22:K22)</f>
        <v>0</v>
      </c>
      <c r="F22" s="68"/>
      <c r="G22" s="239"/>
      <c r="H22" s="239"/>
      <c r="I22" s="239"/>
      <c r="J22" s="239"/>
      <c r="K22" s="239"/>
    </row>
    <row r="23" spans="2:11" x14ac:dyDescent="0.4">
      <c r="B23" s="67"/>
      <c r="D23" s="68"/>
      <c r="E23" s="231"/>
      <c r="F23" s="68"/>
      <c r="G23" s="232"/>
      <c r="H23" s="232"/>
      <c r="I23" s="232"/>
      <c r="J23" s="232"/>
      <c r="K23" s="232"/>
    </row>
    <row r="24" spans="2:11" x14ac:dyDescent="0.4">
      <c r="B24" s="233" t="s">
        <v>98</v>
      </c>
      <c r="D24" s="68"/>
      <c r="E24" s="361" t="s">
        <v>0</v>
      </c>
      <c r="F24" s="68"/>
      <c r="G24" s="239"/>
      <c r="H24" s="239"/>
      <c r="I24" s="239"/>
      <c r="J24" s="239"/>
      <c r="K24" s="239"/>
    </row>
    <row r="25" spans="2:11" x14ac:dyDescent="0.4">
      <c r="B25" s="32" t="s">
        <v>165</v>
      </c>
      <c r="D25" s="236"/>
      <c r="E25" s="362">
        <f>SUM(F25:K25)</f>
        <v>0</v>
      </c>
      <c r="G25" s="239"/>
      <c r="H25" s="239"/>
      <c r="I25" s="239"/>
      <c r="J25" s="239"/>
      <c r="K25" s="239"/>
    </row>
    <row r="26" spans="2:11" x14ac:dyDescent="0.4">
      <c r="B26" s="31" t="s">
        <v>160</v>
      </c>
      <c r="D26" s="236"/>
      <c r="G26" s="239"/>
      <c r="H26" s="239"/>
      <c r="I26" s="239"/>
      <c r="J26" s="239"/>
      <c r="K26" s="239"/>
    </row>
    <row r="28" spans="2:11" x14ac:dyDescent="0.4">
      <c r="B28" s="32" t="s">
        <v>189</v>
      </c>
      <c r="E28" s="362">
        <f>SUM(F28:K28)</f>
        <v>1860000</v>
      </c>
      <c r="G28" s="231">
        <f>IF(G14&gt;G25,G14-G25,0)</f>
        <v>60000</v>
      </c>
      <c r="H28" s="231">
        <f>IF(H14&gt;H25,H14-H25,0)</f>
        <v>80000</v>
      </c>
      <c r="I28" s="231">
        <f>IF(I14&gt;I25,I14-I25,0)</f>
        <v>100000</v>
      </c>
      <c r="J28" s="231">
        <f>IF(J14&gt;J25,J14-J25,0)</f>
        <v>120000</v>
      </c>
      <c r="K28" s="231">
        <f>IF(K14&gt;K25,K14-K25,0)</f>
        <v>1500000</v>
      </c>
    </row>
    <row r="32" spans="2:11" x14ac:dyDescent="0.4">
      <c r="F32" s="96"/>
    </row>
    <row r="33" spans="6:6" x14ac:dyDescent="0.4">
      <c r="F33" s="96"/>
    </row>
    <row r="34" spans="6:6" x14ac:dyDescent="0.4">
      <c r="F34" s="96"/>
    </row>
    <row r="35" spans="6:6" x14ac:dyDescent="0.4">
      <c r="F35" s="96"/>
    </row>
  </sheetData>
  <mergeCells count="1">
    <mergeCell ref="D10:G10"/>
  </mergeCells>
  <dataValidations count="1">
    <dataValidation type="list" allowBlank="1" showInputMessage="1" showErrorMessage="1" sqref="D10:G11">
      <formula1>$P$6:$P$9</formula1>
    </dataValidation>
  </dataValidations>
  <pageMargins left="0.7" right="0.7" top="0.75" bottom="0.75" header="0.3" footer="0.3"/>
  <pageSetup orientation="portrait" horizont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2:R34"/>
  <sheetViews>
    <sheetView zoomScaleNormal="100" workbookViewId="0"/>
  </sheetViews>
  <sheetFormatPr defaultColWidth="9" defaultRowHeight="18" x14ac:dyDescent="0.4"/>
  <cols>
    <col min="1" max="1" width="2.61328125" style="31" customWidth="1"/>
    <col min="2" max="2" width="37.84375" style="31" customWidth="1"/>
    <col min="3" max="3" width="2.61328125" style="31" customWidth="1"/>
    <col min="4" max="6" width="14.4609375" style="31" customWidth="1"/>
    <col min="7" max="7" width="15.15234375" style="31" customWidth="1"/>
    <col min="8" max="12" width="11.84375" style="31" customWidth="1"/>
    <col min="13" max="15" width="9" style="31"/>
    <col min="16" max="16" width="18.765625" style="31" customWidth="1"/>
    <col min="17" max="16384" width="9" style="31"/>
  </cols>
  <sheetData>
    <row r="2" spans="2:18" ht="23" x14ac:dyDescent="0.5">
      <c r="B2" s="33" t="s">
        <v>173</v>
      </c>
    </row>
    <row r="3" spans="2:18" x14ac:dyDescent="0.4">
      <c r="B3" s="31" t="s">
        <v>175</v>
      </c>
    </row>
    <row r="4" spans="2:18" x14ac:dyDescent="0.4">
      <c r="B4" s="31" t="s">
        <v>174</v>
      </c>
    </row>
    <row r="5" spans="2:18" x14ac:dyDescent="0.4">
      <c r="P5" s="32" t="s">
        <v>45</v>
      </c>
    </row>
    <row r="6" spans="2:18" x14ac:dyDescent="0.4">
      <c r="B6" s="31" t="s">
        <v>39</v>
      </c>
      <c r="D6" s="108">
        <v>1000000</v>
      </c>
      <c r="E6" s="108"/>
      <c r="F6" s="108"/>
      <c r="G6" s="108"/>
      <c r="P6" s="92" t="s">
        <v>46</v>
      </c>
      <c r="Q6" s="93"/>
      <c r="R6" s="94"/>
    </row>
    <row r="7" spans="2:18" x14ac:dyDescent="0.4">
      <c r="B7" s="67" t="s">
        <v>40</v>
      </c>
      <c r="D7" s="63">
        <v>0.1</v>
      </c>
      <c r="E7" s="63"/>
      <c r="F7" s="110">
        <f>D7*D6</f>
        <v>100000</v>
      </c>
      <c r="P7" s="95" t="s">
        <v>44</v>
      </c>
      <c r="Q7" s="96"/>
      <c r="R7" s="97"/>
    </row>
    <row r="8" spans="2:18" x14ac:dyDescent="0.4">
      <c r="B8" s="67" t="s">
        <v>41</v>
      </c>
      <c r="D8" s="68">
        <f>1-D7</f>
        <v>0.9</v>
      </c>
      <c r="E8" s="68"/>
      <c r="F8" s="110">
        <f>D8*D6</f>
        <v>900000</v>
      </c>
      <c r="P8" s="95" t="s">
        <v>96</v>
      </c>
      <c r="Q8" s="96"/>
      <c r="R8" s="97"/>
    </row>
    <row r="9" spans="2:18" x14ac:dyDescent="0.4">
      <c r="B9" s="31" t="s">
        <v>97</v>
      </c>
      <c r="D9" s="109">
        <v>0.08</v>
      </c>
      <c r="E9" s="109"/>
      <c r="F9" s="109"/>
      <c r="G9" s="109"/>
      <c r="P9" s="98" t="s">
        <v>95</v>
      </c>
      <c r="Q9" s="99"/>
      <c r="R9" s="100"/>
    </row>
    <row r="10" spans="2:18" x14ac:dyDescent="0.4">
      <c r="B10" s="31" t="s">
        <v>100</v>
      </c>
      <c r="D10" s="438" t="s">
        <v>96</v>
      </c>
      <c r="E10" s="438"/>
      <c r="F10" s="438"/>
      <c r="G10" s="438"/>
    </row>
    <row r="11" spans="2:18" x14ac:dyDescent="0.4">
      <c r="D11" s="344"/>
      <c r="E11" s="360"/>
      <c r="F11" s="344"/>
      <c r="G11" s="344"/>
    </row>
    <row r="12" spans="2:18" x14ac:dyDescent="0.4">
      <c r="E12" s="66"/>
      <c r="F12" s="235" t="s">
        <v>101</v>
      </c>
      <c r="G12" s="64">
        <v>1</v>
      </c>
      <c r="H12" s="64">
        <f>G12+1</f>
        <v>2</v>
      </c>
      <c r="I12" s="64">
        <f>H12+1</f>
        <v>3</v>
      </c>
      <c r="J12" s="64">
        <f>I12+1</f>
        <v>4</v>
      </c>
      <c r="K12" s="64">
        <f>J12+1</f>
        <v>5</v>
      </c>
    </row>
    <row r="13" spans="2:18" x14ac:dyDescent="0.4">
      <c r="E13" s="361" t="s">
        <v>0</v>
      </c>
      <c r="G13" s="64"/>
      <c r="H13" s="64"/>
      <c r="I13" s="64"/>
      <c r="J13" s="64"/>
      <c r="K13" s="64"/>
    </row>
    <row r="14" spans="2:18" x14ac:dyDescent="0.4">
      <c r="B14" s="32" t="s">
        <v>191</v>
      </c>
      <c r="C14" s="32"/>
      <c r="D14" s="32"/>
      <c r="E14" s="362">
        <f>SUM(F14:K14)</f>
        <v>860000</v>
      </c>
      <c r="F14" s="234">
        <f>-D6</f>
        <v>-1000000</v>
      </c>
      <c r="G14" s="65">
        <v>60000</v>
      </c>
      <c r="H14" s="65">
        <v>80000</v>
      </c>
      <c r="I14" s="65">
        <v>100000</v>
      </c>
      <c r="J14" s="65">
        <v>120000</v>
      </c>
      <c r="K14" s="65">
        <v>1500000</v>
      </c>
    </row>
    <row r="15" spans="2:18" x14ac:dyDescent="0.4">
      <c r="E15" s="66"/>
      <c r="G15" s="64"/>
      <c r="H15" s="64"/>
      <c r="I15" s="64"/>
      <c r="J15" s="64"/>
      <c r="K15" s="64"/>
    </row>
    <row r="16" spans="2:18" x14ac:dyDescent="0.4">
      <c r="B16" s="31" t="s">
        <v>159</v>
      </c>
      <c r="E16" s="66"/>
      <c r="G16" s="230">
        <f>$D$6</f>
        <v>1000000</v>
      </c>
      <c r="H16" s="230">
        <f>$D$6</f>
        <v>1000000</v>
      </c>
      <c r="I16" s="230">
        <f>$D$6</f>
        <v>1000000</v>
      </c>
      <c r="J16" s="230">
        <f>$D$6</f>
        <v>1000000</v>
      </c>
      <c r="K16" s="230">
        <f>$D$6</f>
        <v>1000000</v>
      </c>
    </row>
    <row r="17" spans="2:12" x14ac:dyDescent="0.4">
      <c r="E17" s="66"/>
      <c r="G17" s="230"/>
      <c r="H17" s="230"/>
      <c r="I17" s="230"/>
      <c r="J17" s="230"/>
      <c r="K17" s="230"/>
    </row>
    <row r="18" spans="2:12" x14ac:dyDescent="0.4">
      <c r="B18" s="345" t="s">
        <v>186</v>
      </c>
      <c r="E18" s="66"/>
      <c r="G18" s="64"/>
      <c r="H18" s="64"/>
      <c r="I18" s="64"/>
      <c r="J18" s="64"/>
      <c r="K18" s="64"/>
    </row>
    <row r="19" spans="2:12" x14ac:dyDescent="0.4">
      <c r="E19" s="361" t="s">
        <v>0</v>
      </c>
      <c r="G19" s="64"/>
      <c r="H19" s="64"/>
      <c r="I19" s="64"/>
      <c r="J19" s="64"/>
      <c r="K19" s="64"/>
    </row>
    <row r="20" spans="2:12" x14ac:dyDescent="0.4">
      <c r="B20" s="31" t="s">
        <v>190</v>
      </c>
      <c r="E20" s="362">
        <f>SUM(F20:K20)</f>
        <v>400000</v>
      </c>
      <c r="G20" s="238">
        <f>G16*$D$9</f>
        <v>80000</v>
      </c>
      <c r="H20" s="238">
        <f>H16*$D$9</f>
        <v>80000</v>
      </c>
      <c r="I20" s="238">
        <f>I16*$D$9</f>
        <v>80000</v>
      </c>
      <c r="J20" s="238">
        <f>J16*$D$9</f>
        <v>80000</v>
      </c>
      <c r="K20" s="238">
        <f>K16*$D$9</f>
        <v>80000</v>
      </c>
      <c r="L20" s="31" t="s">
        <v>166</v>
      </c>
    </row>
    <row r="21" spans="2:12" x14ac:dyDescent="0.4">
      <c r="B21" s="67" t="s">
        <v>40</v>
      </c>
      <c r="D21" s="236">
        <f>D7</f>
        <v>0.1</v>
      </c>
      <c r="E21" s="362">
        <f>SUM(F21:K21)</f>
        <v>40000</v>
      </c>
      <c r="F21" s="63"/>
      <c r="G21" s="238">
        <f>$D$21*G20</f>
        <v>8000</v>
      </c>
      <c r="H21" s="238">
        <f>$D$21*H20</f>
        <v>8000</v>
      </c>
      <c r="I21" s="238">
        <f>$D$21*I20</f>
        <v>8000</v>
      </c>
      <c r="J21" s="238">
        <f>$D$21*J20</f>
        <v>8000</v>
      </c>
      <c r="K21" s="238">
        <f>$D$21*K20</f>
        <v>8000</v>
      </c>
      <c r="L21" s="31" t="s">
        <v>167</v>
      </c>
    </row>
    <row r="22" spans="2:12" x14ac:dyDescent="0.4">
      <c r="B22" s="67" t="s">
        <v>41</v>
      </c>
      <c r="D22" s="236">
        <f>D8</f>
        <v>0.9</v>
      </c>
      <c r="E22" s="362">
        <f>SUM(F22:K22)</f>
        <v>360000</v>
      </c>
      <c r="F22" s="68"/>
      <c r="G22" s="239">
        <f>$D$22*G20</f>
        <v>72000</v>
      </c>
      <c r="H22" s="239">
        <f>$D$22*H20</f>
        <v>72000</v>
      </c>
      <c r="I22" s="239">
        <f>$D$22*I20</f>
        <v>72000</v>
      </c>
      <c r="J22" s="239">
        <f>$D$22*J20</f>
        <v>72000</v>
      </c>
      <c r="K22" s="239">
        <f>$D$22*K20</f>
        <v>72000</v>
      </c>
      <c r="L22" s="31" t="s">
        <v>168</v>
      </c>
    </row>
    <row r="23" spans="2:12" x14ac:dyDescent="0.4">
      <c r="B23" s="67"/>
      <c r="D23" s="68"/>
      <c r="E23" s="231"/>
      <c r="F23" s="68"/>
      <c r="G23" s="232"/>
      <c r="H23" s="232"/>
      <c r="I23" s="232"/>
      <c r="J23" s="232"/>
      <c r="K23" s="232"/>
    </row>
    <row r="24" spans="2:12" x14ac:dyDescent="0.4">
      <c r="B24" s="233" t="s">
        <v>98</v>
      </c>
      <c r="D24" s="68"/>
      <c r="E24" s="361" t="s">
        <v>0</v>
      </c>
      <c r="F24" s="68"/>
      <c r="G24" s="239">
        <f>G20+F26</f>
        <v>80000</v>
      </c>
      <c r="H24" s="239">
        <f>H20+G26</f>
        <v>100000</v>
      </c>
      <c r="I24" s="239">
        <f>I20+H26</f>
        <v>100000</v>
      </c>
      <c r="J24" s="239">
        <f>J20+I26</f>
        <v>80000</v>
      </c>
      <c r="K24" s="239">
        <f>K20+J26</f>
        <v>80000</v>
      </c>
      <c r="L24" s="31" t="s">
        <v>169</v>
      </c>
    </row>
    <row r="25" spans="2:12" x14ac:dyDescent="0.4">
      <c r="B25" s="32" t="s">
        <v>165</v>
      </c>
      <c r="D25" s="236"/>
      <c r="E25" s="362">
        <f>SUM(F25:K25)</f>
        <v>400000</v>
      </c>
      <c r="G25" s="239">
        <f>IF(G14&gt;G24,G24,G14)</f>
        <v>60000</v>
      </c>
      <c r="H25" s="239">
        <f>IF(H14&gt;H24,H24,H14)</f>
        <v>80000</v>
      </c>
      <c r="I25" s="239">
        <f>IF(I14&gt;I24,I24,I14)</f>
        <v>100000</v>
      </c>
      <c r="J25" s="239">
        <f>IF(J14&gt;J24,J24,J14)</f>
        <v>80000</v>
      </c>
      <c r="K25" s="239">
        <f>IF(K14&gt;K24,K24,K14)</f>
        <v>80000</v>
      </c>
      <c r="L25" s="31" t="s">
        <v>172</v>
      </c>
    </row>
    <row r="26" spans="2:12" x14ac:dyDescent="0.4">
      <c r="B26" s="31" t="s">
        <v>160</v>
      </c>
      <c r="D26" s="236"/>
      <c r="G26" s="239">
        <f>G24-G25</f>
        <v>20000</v>
      </c>
      <c r="H26" s="239">
        <f>H24-H25</f>
        <v>20000</v>
      </c>
      <c r="I26" s="239">
        <f>I24-I25</f>
        <v>0</v>
      </c>
      <c r="J26" s="239">
        <f>J24-J25</f>
        <v>0</v>
      </c>
      <c r="K26" s="239">
        <f>K24-K25</f>
        <v>0</v>
      </c>
      <c r="L26" s="31" t="s">
        <v>170</v>
      </c>
    </row>
    <row r="28" spans="2:12" x14ac:dyDescent="0.4">
      <c r="B28" s="32" t="s">
        <v>189</v>
      </c>
      <c r="E28" s="362">
        <f>SUM(F28:K28)</f>
        <v>1460000</v>
      </c>
      <c r="G28" s="231">
        <f>IF(G14&gt;G25,G14-G25,0)</f>
        <v>0</v>
      </c>
      <c r="H28" s="231">
        <f>IF(H14&gt;H25,H14-H25,0)</f>
        <v>0</v>
      </c>
      <c r="I28" s="231">
        <f>IF(I14&gt;I25,I14-I25,0)</f>
        <v>0</v>
      </c>
      <c r="J28" s="231">
        <f>IF(J14&gt;J25,J14-J25,0)</f>
        <v>40000</v>
      </c>
      <c r="K28" s="231">
        <f>IF(K14&gt;K25,K14-K25,0)</f>
        <v>1420000</v>
      </c>
      <c r="L28" s="31" t="s">
        <v>171</v>
      </c>
    </row>
    <row r="31" spans="2:12" x14ac:dyDescent="0.4">
      <c r="F31" s="96"/>
    </row>
    <row r="32" spans="2:12" x14ac:dyDescent="0.4">
      <c r="F32" s="96"/>
    </row>
    <row r="33" spans="6:6" x14ac:dyDescent="0.4">
      <c r="F33" s="96"/>
    </row>
    <row r="34" spans="6:6" x14ac:dyDescent="0.4">
      <c r="F34" s="96"/>
    </row>
  </sheetData>
  <mergeCells count="1">
    <mergeCell ref="D10:G10"/>
  </mergeCells>
  <dataValidations count="1">
    <dataValidation type="list" allowBlank="1" showInputMessage="1" showErrorMessage="1" sqref="D10:G11">
      <formula1>$P$6:$P$9</formula1>
    </dataValidation>
  </dataValidations>
  <pageMargins left="0.7" right="0.7" top="0.75" bottom="0.75" header="0.3" footer="0.3"/>
  <pageSetup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A2:N35"/>
  <sheetViews>
    <sheetView zoomScaleNormal="100" workbookViewId="0"/>
  </sheetViews>
  <sheetFormatPr defaultColWidth="9" defaultRowHeight="18" x14ac:dyDescent="0.4"/>
  <cols>
    <col min="1" max="1" width="22.23046875" style="74" customWidth="1"/>
    <col min="2" max="2" width="23.61328125" style="74" customWidth="1"/>
    <col min="3" max="3" width="2.61328125" style="74" customWidth="1"/>
    <col min="4" max="4" width="6.765625" style="74" customWidth="1"/>
    <col min="5" max="5" width="2.61328125" style="74" customWidth="1"/>
    <col min="6" max="6" width="14.4609375" style="74" customWidth="1"/>
    <col min="7" max="7" width="14.3828125" style="74" customWidth="1"/>
    <col min="8" max="8" width="14.765625" style="74" customWidth="1"/>
    <col min="9" max="11" width="11.84375" style="74" customWidth="1"/>
    <col min="12" max="12" width="12.84375" style="74" customWidth="1"/>
    <col min="13" max="13" width="11.84375" style="74" customWidth="1"/>
    <col min="14" max="14" width="13.61328125" style="74" customWidth="1"/>
    <col min="15" max="16384" width="9" style="74"/>
  </cols>
  <sheetData>
    <row r="2" spans="2:13" ht="23" x14ac:dyDescent="0.5">
      <c r="B2" s="73" t="s">
        <v>244</v>
      </c>
    </row>
    <row r="3" spans="2:13" x14ac:dyDescent="0.4">
      <c r="B3" s="74" t="s">
        <v>38</v>
      </c>
      <c r="F3" s="75">
        <v>0.1</v>
      </c>
    </row>
    <row r="4" spans="2:13" x14ac:dyDescent="0.4">
      <c r="B4" s="74" t="s">
        <v>39</v>
      </c>
      <c r="F4" s="76">
        <v>1085000</v>
      </c>
      <c r="G4" s="76"/>
    </row>
    <row r="5" spans="2:13" x14ac:dyDescent="0.4">
      <c r="G5" s="77"/>
    </row>
    <row r="6" spans="2:13" ht="41.25" customHeight="1" x14ac:dyDescent="0.4">
      <c r="F6" s="78" t="s">
        <v>0</v>
      </c>
      <c r="G6" s="79"/>
      <c r="H6" s="237" t="s">
        <v>101</v>
      </c>
      <c r="I6" s="80">
        <v>1</v>
      </c>
      <c r="J6" s="80">
        <f>I6+1</f>
        <v>2</v>
      </c>
      <c r="K6" s="80">
        <f>J6+1</f>
        <v>3</v>
      </c>
      <c r="L6" s="80">
        <f>K6+1</f>
        <v>4</v>
      </c>
    </row>
    <row r="7" spans="2:13" x14ac:dyDescent="0.4">
      <c r="F7" s="78"/>
      <c r="G7" s="79"/>
      <c r="H7" s="81"/>
      <c r="I7" s="81"/>
      <c r="J7" s="81"/>
      <c r="K7" s="81"/>
      <c r="L7" s="81"/>
    </row>
    <row r="8" spans="2:13" x14ac:dyDescent="0.4">
      <c r="B8" s="74" t="s">
        <v>43</v>
      </c>
      <c r="F8" s="82">
        <f>SUM(H8:L8)</f>
        <v>-1085000</v>
      </c>
      <c r="G8" s="79"/>
      <c r="H8" s="83">
        <v>-1000000</v>
      </c>
      <c r="I8" s="83">
        <v>0</v>
      </c>
      <c r="J8" s="83">
        <v>-85000</v>
      </c>
      <c r="K8" s="83">
        <v>0</v>
      </c>
      <c r="L8" s="83">
        <v>0</v>
      </c>
    </row>
    <row r="9" spans="2:13" x14ac:dyDescent="0.4">
      <c r="B9" s="84" t="s">
        <v>40</v>
      </c>
      <c r="D9" s="77">
        <v>0.1</v>
      </c>
      <c r="E9" s="77"/>
      <c r="F9" s="82">
        <f>SUM(H9:L9)</f>
        <v>-108500</v>
      </c>
      <c r="G9" s="77"/>
      <c r="H9" s="83">
        <f>$D$9*H8</f>
        <v>-100000</v>
      </c>
      <c r="I9" s="83">
        <f>$D$9*I8</f>
        <v>0</v>
      </c>
      <c r="J9" s="83">
        <f>$D$9*J8</f>
        <v>-8500</v>
      </c>
      <c r="K9" s="83">
        <f>$D$9*K8</f>
        <v>0</v>
      </c>
      <c r="L9" s="83">
        <f>$D$9*L8</f>
        <v>0</v>
      </c>
    </row>
    <row r="10" spans="2:13" x14ac:dyDescent="0.4">
      <c r="B10" s="84" t="s">
        <v>41</v>
      </c>
      <c r="D10" s="77">
        <v>0.9</v>
      </c>
      <c r="E10" s="77"/>
      <c r="F10" s="82">
        <f>SUM(H10:L10)</f>
        <v>-976500</v>
      </c>
      <c r="G10" s="77"/>
      <c r="H10" s="83">
        <f>$D$10*H8</f>
        <v>-900000</v>
      </c>
      <c r="I10" s="83">
        <f>$D$10*I8</f>
        <v>0</v>
      </c>
      <c r="J10" s="83">
        <f>$D$10*J8</f>
        <v>-76500</v>
      </c>
      <c r="K10" s="83">
        <f>$D$10*K8</f>
        <v>0</v>
      </c>
      <c r="L10" s="83">
        <f>$D$10*L8</f>
        <v>0</v>
      </c>
    </row>
    <row r="12" spans="2:13" x14ac:dyDescent="0.4">
      <c r="B12" s="87" t="s">
        <v>42</v>
      </c>
      <c r="F12" s="82">
        <f>SUM(H12:L12)</f>
        <v>1840000</v>
      </c>
      <c r="G12" s="85"/>
      <c r="H12" s="86">
        <v>-1000000</v>
      </c>
      <c r="I12" s="86">
        <v>0</v>
      </c>
      <c r="J12" s="86">
        <v>-85000</v>
      </c>
      <c r="K12" s="86">
        <v>275000</v>
      </c>
      <c r="L12" s="86">
        <v>2650000</v>
      </c>
    </row>
    <row r="13" spans="2:13" x14ac:dyDescent="0.4">
      <c r="F13" s="86"/>
    </row>
    <row r="14" spans="2:13" x14ac:dyDescent="0.4">
      <c r="B14" s="87" t="s">
        <v>54</v>
      </c>
      <c r="F14" s="78" t="s">
        <v>0</v>
      </c>
      <c r="K14" s="107"/>
    </row>
    <row r="15" spans="2:13" x14ac:dyDescent="0.4">
      <c r="B15" s="242" t="s">
        <v>177</v>
      </c>
      <c r="F15" s="82">
        <f>SUM(H15:L15)</f>
        <v>976500</v>
      </c>
      <c r="G15" s="88"/>
      <c r="H15" s="83">
        <f>-H10</f>
        <v>900000</v>
      </c>
      <c r="I15" s="83">
        <f>-I10</f>
        <v>0</v>
      </c>
      <c r="J15" s="83">
        <f>-J10</f>
        <v>76500</v>
      </c>
      <c r="K15" s="83">
        <f>-K10</f>
        <v>0</v>
      </c>
      <c r="L15" s="83">
        <f>-L10</f>
        <v>0</v>
      </c>
      <c r="M15" s="83"/>
    </row>
    <row r="16" spans="2:13" x14ac:dyDescent="0.4">
      <c r="B16" s="242" t="s">
        <v>178</v>
      </c>
      <c r="F16" s="82">
        <f>SUM(H16:L16)</f>
        <v>28303.412039240986</v>
      </c>
      <c r="H16" s="83">
        <f>(G21+G22)*((1+$F$3)^(1/12)-1)</f>
        <v>0</v>
      </c>
      <c r="I16" s="83">
        <f>(H21+H22)*((1+$F$3)^(1/12)-1)</f>
        <v>7176.726386013388</v>
      </c>
      <c r="J16" s="83">
        <f>(I21+I22)*((1+$F$3)^(1/12)-1)</f>
        <v>7233.9546100352782</v>
      </c>
      <c r="K16" s="83">
        <f>(J21+J22)*((1+$F$3)^(1/12)-1)</f>
        <v>7901.6609227631525</v>
      </c>
      <c r="L16" s="83">
        <f>(K21+K22)*((1+$F$3)^(1/12)-1)</f>
        <v>5991.0701204291654</v>
      </c>
      <c r="M16" s="83"/>
    </row>
    <row r="17" spans="1:14" x14ac:dyDescent="0.4">
      <c r="A17" s="345" t="s">
        <v>162</v>
      </c>
      <c r="B17" s="242" t="s">
        <v>184</v>
      </c>
      <c r="F17" s="82">
        <f>SUM(H17:L17)</f>
        <v>-28303.412039240986</v>
      </c>
      <c r="G17" s="88"/>
      <c r="H17" s="83">
        <f>-IF((G22+H16)&gt;0,MIN(MAX(H12,0)*($D$10),G22+H16),0)</f>
        <v>0</v>
      </c>
      <c r="I17" s="83">
        <f>-IF((H22+I16)&gt;0,MIN(MAX(I12,0)*($D$10),H22+I16),0)</f>
        <v>0</v>
      </c>
      <c r="J17" s="83">
        <f>-IF((I22+J16)&gt;0,MIN(MAX(J12,0)*($D$10),I22+J16),0)</f>
        <v>0</v>
      </c>
      <c r="K17" s="83">
        <f>-IF((J22+K16)&gt;0,MIN(MAX(K12,0)*($D$10),J22+K16),0)</f>
        <v>-22312.341918811821</v>
      </c>
      <c r="L17" s="83">
        <f>-IF((K22+L16)&gt;0,MIN(MAX(L12,0)*($D$10),K22+L16),0)</f>
        <v>-5991.0701204291654</v>
      </c>
      <c r="M17" s="83"/>
      <c r="N17" s="107"/>
    </row>
    <row r="18" spans="1:14" x14ac:dyDescent="0.4">
      <c r="A18" s="346" t="s">
        <v>163</v>
      </c>
      <c r="B18" s="242" t="s">
        <v>179</v>
      </c>
      <c r="F18" s="82">
        <f>SUM(H18:L18)</f>
        <v>-976500</v>
      </c>
      <c r="G18" s="88"/>
      <c r="H18" s="83">
        <f>-IF((G21+H15)&gt;0,MIN((MAX(H12,0)*($D$10)+H17),G21+H15),0)</f>
        <v>0</v>
      </c>
      <c r="I18" s="83">
        <f>-IF((H21+I15)&gt;0,MIN((MAX(I12,0)*($D$10)+I17),H21+I15),0)</f>
        <v>0</v>
      </c>
      <c r="J18" s="83">
        <f>-IF((I21+J15)&gt;0,MIN((MAX(J12,0)*($D$10)+J17),I21+J15),0)</f>
        <v>0</v>
      </c>
      <c r="K18" s="83">
        <f>-IF((J21+K15)&gt;0,MIN((MAX(K12,0)*($D$10)+K17),J21+K15),0)</f>
        <v>-225187.65808118819</v>
      </c>
      <c r="L18" s="83">
        <f>-IF((K21+L15)&gt;0,MIN((MAX(L12,0)*($D$10)+L17),K21+L15),0)</f>
        <v>-751312.34191881178</v>
      </c>
      <c r="M18" s="83"/>
    </row>
    <row r="19" spans="1:14" x14ac:dyDescent="0.4">
      <c r="B19" s="242"/>
      <c r="F19" s="86"/>
      <c r="H19" s="83"/>
      <c r="I19" s="83"/>
      <c r="J19" s="83"/>
      <c r="K19" s="83"/>
      <c r="L19" s="83"/>
      <c r="M19" s="83"/>
    </row>
    <row r="20" spans="1:14" x14ac:dyDescent="0.4">
      <c r="B20" s="242"/>
      <c r="F20" s="89" t="s">
        <v>49</v>
      </c>
      <c r="H20" s="83"/>
      <c r="I20" s="83"/>
      <c r="J20" s="83"/>
      <c r="K20" s="83"/>
      <c r="L20" s="83"/>
      <c r="M20" s="83"/>
    </row>
    <row r="21" spans="1:14" x14ac:dyDescent="0.4">
      <c r="B21" s="242" t="s">
        <v>180</v>
      </c>
      <c r="F21" s="86">
        <f>L21</f>
        <v>0</v>
      </c>
      <c r="H21" s="83">
        <f>G21+H15+H18</f>
        <v>900000</v>
      </c>
      <c r="I21" s="83">
        <f>H21+I15+I18</f>
        <v>900000</v>
      </c>
      <c r="J21" s="83">
        <f>I21+J15+J18</f>
        <v>976500</v>
      </c>
      <c r="K21" s="83">
        <f>J21+K15+K18</f>
        <v>751312.34191881178</v>
      </c>
      <c r="L21" s="83">
        <f>K21+L15+L18</f>
        <v>0</v>
      </c>
      <c r="M21" s="83"/>
    </row>
    <row r="22" spans="1:14" x14ac:dyDescent="0.4">
      <c r="B22" s="242" t="s">
        <v>37</v>
      </c>
      <c r="F22" s="86">
        <f>L22</f>
        <v>0</v>
      </c>
      <c r="H22" s="83">
        <f>G22+H16+H17</f>
        <v>0</v>
      </c>
      <c r="I22" s="83">
        <f>H22+I16+I17</f>
        <v>7176.726386013388</v>
      </c>
      <c r="J22" s="83">
        <f>I22+J16+J17</f>
        <v>14410.680996048666</v>
      </c>
      <c r="K22" s="83">
        <f>J22+K16+K17</f>
        <v>0</v>
      </c>
      <c r="L22" s="83">
        <f>K22+L16+L17</f>
        <v>0</v>
      </c>
      <c r="M22" s="83"/>
    </row>
    <row r="23" spans="1:14" x14ac:dyDescent="0.4">
      <c r="H23" s="88"/>
      <c r="I23" s="88"/>
      <c r="J23" s="88"/>
      <c r="K23" s="88"/>
      <c r="L23" s="88"/>
      <c r="M23" s="85"/>
    </row>
    <row r="24" spans="1:14" x14ac:dyDescent="0.4">
      <c r="H24" s="76"/>
      <c r="I24" s="88"/>
      <c r="J24" s="88"/>
      <c r="K24" s="88"/>
      <c r="L24" s="88"/>
      <c r="M24" s="85"/>
    </row>
    <row r="25" spans="1:14" x14ac:dyDescent="0.4">
      <c r="B25" s="87" t="s">
        <v>55</v>
      </c>
      <c r="F25" s="78" t="s">
        <v>0</v>
      </c>
    </row>
    <row r="26" spans="1:14" x14ac:dyDescent="0.4">
      <c r="B26" s="242" t="s">
        <v>177</v>
      </c>
      <c r="F26" s="82">
        <f>SUM(H26:L26)</f>
        <v>0</v>
      </c>
      <c r="H26" s="240"/>
      <c r="I26" s="240"/>
      <c r="J26" s="240"/>
      <c r="K26" s="240"/>
      <c r="L26" s="240"/>
    </row>
    <row r="27" spans="1:14" x14ac:dyDescent="0.4">
      <c r="B27" s="242" t="s">
        <v>178</v>
      </c>
      <c r="F27" s="82">
        <f>SUM(H27:L27)</f>
        <v>0</v>
      </c>
      <c r="H27" s="240"/>
      <c r="I27" s="240"/>
      <c r="J27" s="240"/>
      <c r="K27" s="240"/>
      <c r="L27" s="240"/>
    </row>
    <row r="28" spans="1:14" x14ac:dyDescent="0.4">
      <c r="A28" s="345" t="s">
        <v>162</v>
      </c>
      <c r="B28" s="242" t="s">
        <v>184</v>
      </c>
      <c r="F28" s="82">
        <f>SUM(H28:L28)</f>
        <v>0</v>
      </c>
      <c r="H28" s="240"/>
      <c r="I28" s="240"/>
      <c r="J28" s="240"/>
      <c r="K28" s="240"/>
      <c r="L28" s="240"/>
    </row>
    <row r="29" spans="1:14" x14ac:dyDescent="0.4">
      <c r="A29" s="346" t="s">
        <v>163</v>
      </c>
      <c r="B29" s="242" t="s">
        <v>179</v>
      </c>
      <c r="F29" s="82">
        <f>SUM(H29:L29)</f>
        <v>0</v>
      </c>
      <c r="H29" s="240"/>
      <c r="I29" s="240"/>
      <c r="J29" s="240"/>
      <c r="K29" s="240"/>
      <c r="L29" s="240"/>
    </row>
    <row r="30" spans="1:14" x14ac:dyDescent="0.4">
      <c r="B30" s="242"/>
      <c r="F30" s="86"/>
    </row>
    <row r="31" spans="1:14" x14ac:dyDescent="0.4">
      <c r="B31" s="242"/>
      <c r="F31" s="89" t="s">
        <v>49</v>
      </c>
    </row>
    <row r="32" spans="1:14" x14ac:dyDescent="0.4">
      <c r="B32" s="242" t="s">
        <v>180</v>
      </c>
      <c r="F32" s="86">
        <f>L32</f>
        <v>0</v>
      </c>
      <c r="H32" s="240"/>
      <c r="I32" s="240"/>
      <c r="J32" s="240"/>
      <c r="K32" s="240"/>
      <c r="L32" s="240"/>
    </row>
    <row r="33" spans="1:12" x14ac:dyDescent="0.4">
      <c r="B33" s="242" t="s">
        <v>37</v>
      </c>
      <c r="F33" s="86">
        <f>L33</f>
        <v>0</v>
      </c>
      <c r="H33" s="240"/>
      <c r="I33" s="240"/>
      <c r="J33" s="240"/>
      <c r="K33" s="240"/>
      <c r="L33" s="240"/>
    </row>
    <row r="35" spans="1:12" x14ac:dyDescent="0.4">
      <c r="A35" s="347" t="s">
        <v>164</v>
      </c>
      <c r="B35" s="32" t="s">
        <v>99</v>
      </c>
      <c r="H35" s="244"/>
      <c r="I35" s="244"/>
      <c r="J35" s="244"/>
      <c r="K35" s="244"/>
      <c r="L35" s="244"/>
    </row>
  </sheetData>
  <pageMargins left="0.7" right="0.7" top="0.75" bottom="0.75" header="0.3" footer="0.3"/>
  <pageSetup orientation="portrait" horizontalDpi="300"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M35"/>
  <sheetViews>
    <sheetView zoomScaleNormal="100" workbookViewId="0"/>
  </sheetViews>
  <sheetFormatPr defaultColWidth="9" defaultRowHeight="18" x14ac:dyDescent="0.4"/>
  <cols>
    <col min="1" max="1" width="22.23046875" style="74" customWidth="1"/>
    <col min="2" max="2" width="23.61328125" style="74" customWidth="1"/>
    <col min="3" max="3" width="2.61328125" style="74" customWidth="1"/>
    <col min="4" max="4" width="6.765625" style="74" customWidth="1"/>
    <col min="5" max="5" width="2.61328125" style="74" customWidth="1"/>
    <col min="6" max="6" width="14.4609375" style="74" customWidth="1"/>
    <col min="7" max="7" width="14.3828125" style="74" customWidth="1"/>
    <col min="8" max="8" width="13.23046875" style="74" bestFit="1" customWidth="1"/>
    <col min="9" max="11" width="11.84375" style="74" customWidth="1"/>
    <col min="12" max="12" width="12.84375" style="74" customWidth="1"/>
    <col min="13" max="13" width="11.84375" style="74" customWidth="1"/>
    <col min="14" max="16384" width="9" style="74"/>
  </cols>
  <sheetData>
    <row r="2" spans="2:13" ht="23" x14ac:dyDescent="0.5">
      <c r="B2" s="73" t="s">
        <v>176</v>
      </c>
    </row>
    <row r="3" spans="2:13" x14ac:dyDescent="0.4">
      <c r="B3" s="74" t="s">
        <v>38</v>
      </c>
      <c r="F3" s="75">
        <v>0.1</v>
      </c>
    </row>
    <row r="4" spans="2:13" x14ac:dyDescent="0.4">
      <c r="B4" s="74" t="s">
        <v>39</v>
      </c>
      <c r="F4" s="76">
        <v>1085000</v>
      </c>
      <c r="G4" s="76"/>
    </row>
    <row r="5" spans="2:13" x14ac:dyDescent="0.4">
      <c r="G5" s="77"/>
    </row>
    <row r="6" spans="2:13" ht="41.25" customHeight="1" x14ac:dyDescent="0.4">
      <c r="F6" s="78" t="s">
        <v>0</v>
      </c>
      <c r="G6" s="79"/>
      <c r="H6" s="237" t="s">
        <v>101</v>
      </c>
      <c r="I6" s="80">
        <v>1</v>
      </c>
      <c r="J6" s="80">
        <f>I6+1</f>
        <v>2</v>
      </c>
      <c r="K6" s="80">
        <f>J6+1</f>
        <v>3</v>
      </c>
      <c r="L6" s="80">
        <f>K6+1</f>
        <v>4</v>
      </c>
    </row>
    <row r="7" spans="2:13" x14ac:dyDescent="0.4">
      <c r="F7" s="78"/>
      <c r="G7" s="79"/>
      <c r="H7" s="81"/>
      <c r="I7" s="81"/>
      <c r="J7" s="81"/>
      <c r="K7" s="81"/>
      <c r="L7" s="81"/>
    </row>
    <row r="8" spans="2:13" x14ac:dyDescent="0.4">
      <c r="B8" s="74" t="s">
        <v>43</v>
      </c>
      <c r="F8" s="82">
        <f>SUM(H8:L8)</f>
        <v>-1085000</v>
      </c>
      <c r="G8" s="79"/>
      <c r="H8" s="83">
        <v>-1000000</v>
      </c>
      <c r="I8" s="83">
        <v>0</v>
      </c>
      <c r="J8" s="83">
        <v>-85000</v>
      </c>
      <c r="K8" s="83">
        <v>0</v>
      </c>
      <c r="L8" s="83">
        <v>0</v>
      </c>
    </row>
    <row r="9" spans="2:13" x14ac:dyDescent="0.4">
      <c r="B9" s="84" t="s">
        <v>40</v>
      </c>
      <c r="D9" s="77">
        <v>0.1</v>
      </c>
      <c r="E9" s="77"/>
      <c r="F9" s="82">
        <f>SUM(H9:L9)</f>
        <v>-108500</v>
      </c>
      <c r="G9" s="77"/>
      <c r="H9" s="83">
        <f>$D$9*H8</f>
        <v>-100000</v>
      </c>
      <c r="I9" s="83">
        <f>$D$9*I8</f>
        <v>0</v>
      </c>
      <c r="J9" s="83">
        <f>$D$9*J8</f>
        <v>-8500</v>
      </c>
      <c r="K9" s="83">
        <f>$D$9*K8</f>
        <v>0</v>
      </c>
      <c r="L9" s="83">
        <f>$D$9*L8</f>
        <v>0</v>
      </c>
    </row>
    <row r="10" spans="2:13" x14ac:dyDescent="0.4">
      <c r="B10" s="84" t="s">
        <v>41</v>
      </c>
      <c r="D10" s="77">
        <v>0.9</v>
      </c>
      <c r="E10" s="77"/>
      <c r="F10" s="82">
        <f>SUM(H10:L10)</f>
        <v>-976500</v>
      </c>
      <c r="G10" s="77"/>
      <c r="H10" s="83">
        <f>$D$10*H8</f>
        <v>-900000</v>
      </c>
      <c r="I10" s="83">
        <f>$D$10*I8</f>
        <v>0</v>
      </c>
      <c r="J10" s="83">
        <f>$D$10*J8</f>
        <v>-76500</v>
      </c>
      <c r="K10" s="83">
        <f>$D$10*K8</f>
        <v>0</v>
      </c>
      <c r="L10" s="83">
        <f>$D$10*L8</f>
        <v>0</v>
      </c>
    </row>
    <row r="12" spans="2:13" x14ac:dyDescent="0.4">
      <c r="B12" s="87" t="s">
        <v>42</v>
      </c>
      <c r="C12" s="87"/>
      <c r="D12" s="87"/>
      <c r="E12" s="87"/>
      <c r="F12" s="82">
        <f>SUM(H12:L12)</f>
        <v>1840000</v>
      </c>
      <c r="G12" s="85"/>
      <c r="H12" s="86">
        <v>-1000000</v>
      </c>
      <c r="I12" s="86">
        <v>0</v>
      </c>
      <c r="J12" s="86">
        <v>-85000</v>
      </c>
      <c r="K12" s="86">
        <v>275000</v>
      </c>
      <c r="L12" s="86">
        <v>2650000</v>
      </c>
    </row>
    <row r="13" spans="2:13" x14ac:dyDescent="0.4">
      <c r="F13" s="86"/>
    </row>
    <row r="14" spans="2:13" x14ac:dyDescent="0.4">
      <c r="B14" s="87" t="s">
        <v>54</v>
      </c>
      <c r="F14" s="78" t="s">
        <v>0</v>
      </c>
    </row>
    <row r="15" spans="2:13" x14ac:dyDescent="0.4">
      <c r="B15" s="242" t="s">
        <v>177</v>
      </c>
      <c r="F15" s="82">
        <f>SUM(H15:L15)</f>
        <v>976500</v>
      </c>
      <c r="G15" s="88"/>
      <c r="H15" s="83">
        <f>-H10</f>
        <v>900000</v>
      </c>
      <c r="I15" s="83">
        <f>-I10</f>
        <v>0</v>
      </c>
      <c r="J15" s="83">
        <f>-J10</f>
        <v>76500</v>
      </c>
      <c r="K15" s="83">
        <f>-K10</f>
        <v>0</v>
      </c>
      <c r="L15" s="83">
        <f>-L10</f>
        <v>0</v>
      </c>
      <c r="M15" s="83"/>
    </row>
    <row r="16" spans="2:13" x14ac:dyDescent="0.4">
      <c r="B16" s="242" t="s">
        <v>178</v>
      </c>
      <c r="F16" s="82">
        <f>SUM(H16:L16)</f>
        <v>28303.412039240986</v>
      </c>
      <c r="H16" s="83">
        <f>(G21+G22)*((1+$F$3)^(1/12)-1)</f>
        <v>0</v>
      </c>
      <c r="I16" s="83">
        <f>(H21+H22)*((1+$F$3)^(1/12)-1)</f>
        <v>7176.726386013388</v>
      </c>
      <c r="J16" s="83">
        <f>(I21+I22)*((1+$F$3)^(1/12)-1)</f>
        <v>7233.9546100352782</v>
      </c>
      <c r="K16" s="83">
        <f>(J21+J22)*((1+$F$3)^(1/12)-1)</f>
        <v>7901.6609227631525</v>
      </c>
      <c r="L16" s="83">
        <f>(K21+K22)*((1+$F$3)^(1/12)-1)</f>
        <v>5991.0701204291654</v>
      </c>
      <c r="M16" s="83" t="s">
        <v>181</v>
      </c>
    </row>
    <row r="17" spans="1:13" x14ac:dyDescent="0.4">
      <c r="A17" s="345" t="s">
        <v>162</v>
      </c>
      <c r="B17" s="242" t="s">
        <v>184</v>
      </c>
      <c r="F17" s="82">
        <f>SUM(H17:L17)</f>
        <v>-28303.412039240986</v>
      </c>
      <c r="G17" s="88"/>
      <c r="H17" s="83">
        <f>-IF((G22+H16)&gt;0,MIN(MAX(H$12,0)*($D$10),G22+H16),0)</f>
        <v>0</v>
      </c>
      <c r="I17" s="83">
        <f>-IF((H22+I16)&gt;0,MIN(MAX(I$12,0)*($D$10),H22+I16),0)</f>
        <v>0</v>
      </c>
      <c r="J17" s="83">
        <f>-IF((I22+J16)&gt;0,MIN(MAX(J$12,0)*($D$10),I22+J16),0)</f>
        <v>0</v>
      </c>
      <c r="K17" s="83">
        <f>-IF((J22+K16)&gt;0,MIN(MAX(K$12,0)*($D$10),J22+K16),0)</f>
        <v>-22312.341918811821</v>
      </c>
      <c r="L17" s="83">
        <f>-IF((K22+L16)&gt;0,MIN(MAX(L$12,0)*($D$10),K22+L16),0)</f>
        <v>-5991.0701204291654</v>
      </c>
      <c r="M17" s="83" t="s">
        <v>182</v>
      </c>
    </row>
    <row r="18" spans="1:13" x14ac:dyDescent="0.4">
      <c r="A18" s="346" t="s">
        <v>163</v>
      </c>
      <c r="B18" s="242" t="s">
        <v>179</v>
      </c>
      <c r="F18" s="82">
        <f>SUM(H18:L18)</f>
        <v>-976500</v>
      </c>
      <c r="G18" s="88"/>
      <c r="H18" s="83">
        <f>-IF((G21+H15)&gt;0,MIN((MAX(H$12,0)*($D$10)+H17),G21+H15),0)</f>
        <v>0</v>
      </c>
      <c r="I18" s="83">
        <f>-IF((H21+I15)&gt;0,MIN((MAX(I$12,0)*($D$10)+I17),H21+I15),0)</f>
        <v>0</v>
      </c>
      <c r="J18" s="83">
        <f>-IF((I21+J15)&gt;0,MIN((MAX(J$12,0)*($D$10)+J17),I21+J15),0)</f>
        <v>0</v>
      </c>
      <c r="K18" s="83">
        <f>-IF((J21+K15)&gt;0,MIN((MAX(K$12,0)*($D$10)+K17),J21+K15),0)</f>
        <v>-225187.65808118819</v>
      </c>
      <c r="L18" s="83">
        <f>-IF((K21+L15)&gt;0,MIN((MAX(L$12,0)*($D$10)+L17),K21+L15),0)</f>
        <v>-751312.34191881178</v>
      </c>
      <c r="M18" s="83" t="s">
        <v>183</v>
      </c>
    </row>
    <row r="19" spans="1:13" x14ac:dyDescent="0.4">
      <c r="B19" s="242"/>
      <c r="F19" s="86"/>
      <c r="H19" s="83"/>
      <c r="I19" s="83"/>
      <c r="J19" s="83"/>
      <c r="K19" s="83"/>
      <c r="L19" s="83"/>
      <c r="M19" s="83"/>
    </row>
    <row r="20" spans="1:13" x14ac:dyDescent="0.4">
      <c r="B20" s="242"/>
      <c r="F20" s="89" t="s">
        <v>49</v>
      </c>
      <c r="H20" s="83"/>
      <c r="I20" s="83"/>
      <c r="J20" s="83"/>
      <c r="K20" s="83"/>
      <c r="L20" s="83"/>
      <c r="M20" s="83"/>
    </row>
    <row r="21" spans="1:13" x14ac:dyDescent="0.4">
      <c r="B21" s="242" t="s">
        <v>180</v>
      </c>
      <c r="F21" s="86">
        <f>L21</f>
        <v>0</v>
      </c>
      <c r="H21" s="83">
        <f>G21+H15+H18</f>
        <v>900000</v>
      </c>
      <c r="I21" s="83">
        <f>H21+I15+I18</f>
        <v>900000</v>
      </c>
      <c r="J21" s="83">
        <f>I21+J15+J18</f>
        <v>976500</v>
      </c>
      <c r="K21" s="83">
        <f>J21+K15+K18</f>
        <v>751312.34191881178</v>
      </c>
      <c r="L21" s="83">
        <f>K21+L15+L18</f>
        <v>0</v>
      </c>
      <c r="M21" s="83"/>
    </row>
    <row r="22" spans="1:13" x14ac:dyDescent="0.4">
      <c r="B22" s="242" t="s">
        <v>37</v>
      </c>
      <c r="F22" s="86">
        <f>L22</f>
        <v>0</v>
      </c>
      <c r="H22" s="83">
        <f>G22+H16+H17</f>
        <v>0</v>
      </c>
      <c r="I22" s="83">
        <f>H22+I16+I17</f>
        <v>7176.726386013388</v>
      </c>
      <c r="J22" s="83">
        <f>I22+J16+J17</f>
        <v>14410.680996048666</v>
      </c>
      <c r="K22" s="83">
        <f>J22+K16+K17</f>
        <v>0</v>
      </c>
      <c r="L22" s="83">
        <f>K22+L16+L17</f>
        <v>0</v>
      </c>
      <c r="M22" s="83"/>
    </row>
    <row r="23" spans="1:13" x14ac:dyDescent="0.4">
      <c r="H23" s="88"/>
      <c r="I23" s="88"/>
      <c r="J23" s="88"/>
      <c r="K23" s="88"/>
      <c r="L23" s="88"/>
      <c r="M23" s="85"/>
    </row>
    <row r="24" spans="1:13" x14ac:dyDescent="0.4">
      <c r="H24" s="76"/>
      <c r="I24" s="88"/>
      <c r="J24" s="88"/>
      <c r="K24" s="88"/>
      <c r="L24" s="88"/>
      <c r="M24" s="85"/>
    </row>
    <row r="25" spans="1:13" x14ac:dyDescent="0.4">
      <c r="B25" s="87" t="s">
        <v>55</v>
      </c>
      <c r="F25" s="78" t="s">
        <v>0</v>
      </c>
    </row>
    <row r="26" spans="1:13" x14ac:dyDescent="0.4">
      <c r="B26" s="242" t="s">
        <v>177</v>
      </c>
      <c r="F26" s="82">
        <f>SUM(H26:L26)</f>
        <v>108500</v>
      </c>
      <c r="H26" s="241">
        <f>-H9</f>
        <v>100000</v>
      </c>
      <c r="I26" s="241">
        <f>-I9</f>
        <v>0</v>
      </c>
      <c r="J26" s="241">
        <f>-J9</f>
        <v>8500</v>
      </c>
      <c r="K26" s="241">
        <f>-K9</f>
        <v>0</v>
      </c>
      <c r="L26" s="241">
        <f>-L9</f>
        <v>0</v>
      </c>
    </row>
    <row r="27" spans="1:13" x14ac:dyDescent="0.4">
      <c r="B27" s="242" t="s">
        <v>178</v>
      </c>
      <c r="F27" s="82">
        <f>SUM(H27:L27)</f>
        <v>3144.8235599156651</v>
      </c>
      <c r="H27" s="241">
        <f>(G32+G33)*((1+$F$3)^(1/12)-1)</f>
        <v>0</v>
      </c>
      <c r="I27" s="241">
        <f>(H32+H33)*((1+$F$3)^(1/12)-1)</f>
        <v>797.41404289037644</v>
      </c>
      <c r="J27" s="241">
        <f>(I32+I33)*((1+$F$3)^(1/12)-1)</f>
        <v>803.77273444836419</v>
      </c>
      <c r="K27" s="241">
        <f>(J32+J33)*((1+$F$3)^(1/12)-1)</f>
        <v>877.96232475146132</v>
      </c>
      <c r="L27" s="241">
        <f>(K32+K33)*((1+$F$3)^(1/12)-1)</f>
        <v>665.67445782546281</v>
      </c>
    </row>
    <row r="28" spans="1:13" x14ac:dyDescent="0.4">
      <c r="A28" s="345" t="s">
        <v>162</v>
      </c>
      <c r="B28" s="242" t="s">
        <v>184</v>
      </c>
      <c r="F28" s="82">
        <f>SUM(H28:L28)</f>
        <v>-3144.8235599156651</v>
      </c>
      <c r="H28" s="241">
        <f>-IF((G33+H27)&gt;0,MIN(MAX(H$12,0)*($D$9),G33+H27),0)</f>
        <v>0</v>
      </c>
      <c r="I28" s="241">
        <f>-IF((H33+I27)&gt;0,MIN(MAX(I$12,0)*($D$9),H33+I27),0)</f>
        <v>0</v>
      </c>
      <c r="J28" s="241">
        <f>-IF((I33+J27)&gt;0,MIN(MAX(J$12,0)*($D$9),I33+J27),0)</f>
        <v>0</v>
      </c>
      <c r="K28" s="241">
        <f>-IF((J33+K27)&gt;0,MIN(MAX(K$12,0)*($D$9),J33+K27),0)</f>
        <v>-2479.1491020902022</v>
      </c>
      <c r="L28" s="241">
        <f>-IF((K33+L27)&gt;0,MIN(MAX(L$12,0)*($D$9),K33+L27),0)</f>
        <v>-665.67445782546281</v>
      </c>
    </row>
    <row r="29" spans="1:13" x14ac:dyDescent="0.4">
      <c r="A29" s="346" t="s">
        <v>163</v>
      </c>
      <c r="B29" s="242" t="s">
        <v>179</v>
      </c>
      <c r="F29" s="82">
        <f>SUM(H29:L29)</f>
        <v>-108500</v>
      </c>
      <c r="H29" s="241">
        <f>-IF((G32+H26)&gt;0,MIN((MAX(H$12,0)*($D$9)+H28),G32+H26),0)</f>
        <v>0</v>
      </c>
      <c r="I29" s="241">
        <f>-IF((H32+I26)&gt;0,MIN((MAX(I$12,0)*($D$9)+I28),H32+I26),0)</f>
        <v>0</v>
      </c>
      <c r="J29" s="241">
        <f>-IF((I32+J26)&gt;0,MIN((MAX(J$12,0)*($D$9)+J28),I32+J26),0)</f>
        <v>0</v>
      </c>
      <c r="K29" s="241">
        <f>-IF((J32+K26)&gt;0,MIN((MAX(K$12,0)*($D$9)+K28),J32+K26),0)</f>
        <v>-25020.850897909797</v>
      </c>
      <c r="L29" s="241">
        <f>-IF((K32+L26)&gt;0,MIN((MAX(L$12,0)*($D$9)+L28),K32+L26),0)</f>
        <v>-83479.149102090203</v>
      </c>
    </row>
    <row r="30" spans="1:13" x14ac:dyDescent="0.4">
      <c r="B30" s="242"/>
      <c r="F30" s="86"/>
      <c r="H30" s="83"/>
      <c r="I30" s="83"/>
      <c r="J30" s="83"/>
      <c r="K30" s="83"/>
      <c r="L30" s="83"/>
    </row>
    <row r="31" spans="1:13" x14ac:dyDescent="0.4">
      <c r="B31" s="242"/>
      <c r="F31" s="89" t="s">
        <v>49</v>
      </c>
      <c r="H31" s="83"/>
      <c r="I31" s="83"/>
      <c r="J31" s="83"/>
      <c r="K31" s="83"/>
      <c r="L31" s="83"/>
    </row>
    <row r="32" spans="1:13" x14ac:dyDescent="0.4">
      <c r="B32" s="242" t="s">
        <v>180</v>
      </c>
      <c r="F32" s="86">
        <f>L32</f>
        <v>0</v>
      </c>
      <c r="H32" s="241">
        <f>G32+H26+H29</f>
        <v>100000</v>
      </c>
      <c r="I32" s="241">
        <f>H32+I26+I29</f>
        <v>100000</v>
      </c>
      <c r="J32" s="241">
        <f>I32+J26+J29</f>
        <v>108500</v>
      </c>
      <c r="K32" s="241">
        <f>J32+K26+K29</f>
        <v>83479.149102090203</v>
      </c>
      <c r="L32" s="241">
        <f>K32+L26+L29</f>
        <v>0</v>
      </c>
    </row>
    <row r="33" spans="1:13" x14ac:dyDescent="0.4">
      <c r="B33" s="242" t="s">
        <v>37</v>
      </c>
      <c r="F33" s="86">
        <f>L33</f>
        <v>0</v>
      </c>
      <c r="H33" s="241">
        <f>G33+H27+H28</f>
        <v>0</v>
      </c>
      <c r="I33" s="241">
        <f>H33+I27+I28</f>
        <v>797.41404289037644</v>
      </c>
      <c r="J33" s="241">
        <f>I33+J27+J28</f>
        <v>1601.1867773387407</v>
      </c>
      <c r="K33" s="241">
        <f>J33+K27+K28</f>
        <v>0</v>
      </c>
      <c r="L33" s="241">
        <f>K33+L27+L28</f>
        <v>0</v>
      </c>
    </row>
    <row r="34" spans="1:13" x14ac:dyDescent="0.4">
      <c r="H34" s="83"/>
      <c r="I34" s="83"/>
      <c r="J34" s="83"/>
      <c r="K34" s="83"/>
      <c r="L34" s="83"/>
    </row>
    <row r="35" spans="1:13" x14ac:dyDescent="0.4">
      <c r="A35" s="347" t="s">
        <v>164</v>
      </c>
      <c r="B35" s="32" t="s">
        <v>99</v>
      </c>
      <c r="H35" s="243">
        <f>IF(H12&lt;=0,0,H12+H17+H18+H28+H29)</f>
        <v>0</v>
      </c>
      <c r="I35" s="243">
        <f>IF(I12&lt;=0,0,I12+I17+I18+I28+I29)</f>
        <v>0</v>
      </c>
      <c r="J35" s="243">
        <f>IF(J12&lt;=0,0,J12+J17+J18+J28+J29)</f>
        <v>0</v>
      </c>
      <c r="K35" s="243">
        <f>IF(K12&lt;=0,0,K12+K17+K18+K28+K29)</f>
        <v>0</v>
      </c>
      <c r="L35" s="243">
        <f>IF(L12&lt;=0,0,L12+L17+L18+L28+L29)</f>
        <v>1808551.7644008435</v>
      </c>
      <c r="M35" s="74" t="s">
        <v>185</v>
      </c>
    </row>
  </sheetData>
  <pageMargins left="0.7" right="0.7" top="0.75" bottom="0.75" header="0.3" footer="0.3"/>
  <pageSetup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dimension ref="A1:N128"/>
  <sheetViews>
    <sheetView zoomScale="140" zoomScaleNormal="140" workbookViewId="0"/>
  </sheetViews>
  <sheetFormatPr defaultColWidth="9" defaultRowHeight="13.5" x14ac:dyDescent="0.3"/>
  <cols>
    <col min="1" max="1" width="14.4609375" style="112" customWidth="1"/>
    <col min="2" max="2" width="27.15234375" style="117" customWidth="1"/>
    <col min="3" max="3" width="15.15234375" style="117" customWidth="1"/>
    <col min="4" max="4" width="5.3828125" style="117" customWidth="1"/>
    <col min="5" max="5" width="16.3828125" style="117" customWidth="1"/>
    <col min="6" max="6" width="2.3828125" style="117" customWidth="1"/>
    <col min="7" max="7" width="3.23046875" style="117" customWidth="1"/>
    <col min="8" max="8" width="13.23046875" style="117" customWidth="1" collapsed="1"/>
    <col min="9" max="10" width="13.23046875" style="112" customWidth="1"/>
    <col min="11" max="11" width="2.3828125" style="112" customWidth="1"/>
    <col min="12" max="16384" width="9" style="112"/>
  </cols>
  <sheetData>
    <row r="1" spans="2:14" ht="28.5" customHeight="1" x14ac:dyDescent="0.4">
      <c r="B1" s="119" t="s">
        <v>205</v>
      </c>
    </row>
    <row r="2" spans="2:14" ht="17" x14ac:dyDescent="0.4">
      <c r="B2" s="120" t="s">
        <v>158</v>
      </c>
    </row>
    <row r="3" spans="2:14" ht="14.5" x14ac:dyDescent="0.35">
      <c r="B3" s="341" t="s">
        <v>157</v>
      </c>
    </row>
    <row r="4" spans="2:14" ht="14.5" x14ac:dyDescent="0.35">
      <c r="B4" s="342" t="s">
        <v>196</v>
      </c>
    </row>
    <row r="5" spans="2:14" ht="14.5" x14ac:dyDescent="0.35">
      <c r="B5" s="342" t="s">
        <v>197</v>
      </c>
    </row>
    <row r="6" spans="2:14" ht="14.5" x14ac:dyDescent="0.3">
      <c r="B6" s="343" t="s">
        <v>161</v>
      </c>
    </row>
    <row r="7" spans="2:14" ht="14.5" x14ac:dyDescent="0.3">
      <c r="B7" s="121"/>
    </row>
    <row r="8" spans="2:14" ht="15" x14ac:dyDescent="0.45">
      <c r="B8" s="122" t="s">
        <v>102</v>
      </c>
      <c r="C8" s="123" t="s">
        <v>74</v>
      </c>
      <c r="D8" s="123"/>
      <c r="E8" s="123" t="s">
        <v>75</v>
      </c>
      <c r="F8" s="124"/>
      <c r="G8" s="124"/>
      <c r="H8" s="124"/>
    </row>
    <row r="9" spans="2:14" x14ac:dyDescent="0.3">
      <c r="B9" s="125" t="s">
        <v>201</v>
      </c>
      <c r="C9" s="206">
        <f>E9/E11</f>
        <v>0.1</v>
      </c>
      <c r="D9" s="126"/>
      <c r="E9" s="204">
        <v>1000000</v>
      </c>
      <c r="F9" s="127"/>
      <c r="G9" s="127"/>
      <c r="H9" s="127"/>
    </row>
    <row r="10" spans="2:14" x14ac:dyDescent="0.3">
      <c r="B10" s="128" t="s">
        <v>76</v>
      </c>
      <c r="C10" s="207">
        <f>E10/E11</f>
        <v>0.9</v>
      </c>
      <c r="D10" s="129"/>
      <c r="E10" s="205">
        <v>9000000</v>
      </c>
      <c r="F10" s="127"/>
      <c r="G10" s="127"/>
      <c r="H10" s="127"/>
    </row>
    <row r="11" spans="2:14" x14ac:dyDescent="0.3">
      <c r="B11" s="130" t="s">
        <v>77</v>
      </c>
      <c r="C11" s="131">
        <f>SUM(C9:C10)</f>
        <v>1</v>
      </c>
      <c r="D11" s="132"/>
      <c r="E11" s="133">
        <f>SUM(E9:E10)</f>
        <v>10000000</v>
      </c>
      <c r="F11" s="127"/>
      <c r="G11" s="127"/>
      <c r="H11" s="127"/>
    </row>
    <row r="12" spans="2:14" x14ac:dyDescent="0.3">
      <c r="F12" s="127"/>
      <c r="G12" s="127"/>
      <c r="H12" s="127"/>
    </row>
    <row r="13" spans="2:14" x14ac:dyDescent="0.3">
      <c r="B13" s="117" t="s">
        <v>78</v>
      </c>
      <c r="F13" s="127"/>
      <c r="G13" s="127"/>
      <c r="H13" s="127"/>
    </row>
    <row r="14" spans="2:14" x14ac:dyDescent="0.3">
      <c r="E14" s="348" t="s">
        <v>67</v>
      </c>
      <c r="F14" s="127"/>
      <c r="G14" s="127"/>
      <c r="H14" s="208" t="s">
        <v>101</v>
      </c>
      <c r="I14" s="208" t="s">
        <v>194</v>
      </c>
      <c r="J14" s="208" t="s">
        <v>195</v>
      </c>
      <c r="L14" s="408" t="s">
        <v>216</v>
      </c>
      <c r="M14" s="409"/>
      <c r="N14" s="409"/>
    </row>
    <row r="15" spans="2:14" x14ac:dyDescent="0.3">
      <c r="B15" s="112"/>
      <c r="E15" s="349"/>
      <c r="F15" s="127"/>
      <c r="G15" s="127"/>
      <c r="H15" s="127"/>
      <c r="L15" s="406"/>
      <c r="M15" s="406" t="s">
        <v>2</v>
      </c>
      <c r="N15" s="406" t="s">
        <v>1</v>
      </c>
    </row>
    <row r="16" spans="2:14" x14ac:dyDescent="0.3">
      <c r="B16" s="130" t="s">
        <v>94</v>
      </c>
      <c r="E16" s="350">
        <f>SUM(H16:J16)</f>
        <v>5800000</v>
      </c>
      <c r="F16" s="127"/>
      <c r="G16" s="127"/>
      <c r="H16" s="137">
        <v>-10000000</v>
      </c>
      <c r="I16" s="137">
        <v>800000</v>
      </c>
      <c r="J16" s="137">
        <v>15000000</v>
      </c>
      <c r="L16" s="406" t="s">
        <v>57</v>
      </c>
      <c r="M16" s="407">
        <f>C36+C37</f>
        <v>0.1</v>
      </c>
      <c r="N16" s="407">
        <f>C35</f>
        <v>0.9</v>
      </c>
    </row>
    <row r="17" spans="1:14" x14ac:dyDescent="0.3">
      <c r="B17" s="218" t="s">
        <v>93</v>
      </c>
      <c r="E17" s="349"/>
      <c r="F17" s="127"/>
      <c r="G17" s="127"/>
      <c r="H17" s="127"/>
      <c r="L17" s="406" t="s">
        <v>65</v>
      </c>
      <c r="M17" s="407">
        <f>SUM(C50:C51)</f>
        <v>0.2</v>
      </c>
      <c r="N17" s="407">
        <f>C49</f>
        <v>0.8</v>
      </c>
    </row>
    <row r="18" spans="1:14" x14ac:dyDescent="0.3">
      <c r="E18" s="348"/>
      <c r="F18" s="134"/>
      <c r="G18" s="134"/>
      <c r="H18" s="134"/>
      <c r="L18" s="406" t="s">
        <v>79</v>
      </c>
      <c r="M18" s="407">
        <f>SUM(C57:C58)</f>
        <v>0.6</v>
      </c>
      <c r="N18" s="407">
        <f>C56</f>
        <v>0.4</v>
      </c>
    </row>
    <row r="19" spans="1:14" x14ac:dyDescent="0.3">
      <c r="B19" s="117" t="s">
        <v>68</v>
      </c>
      <c r="E19" s="350">
        <f>SUM(H19:J19)</f>
        <v>-10000000</v>
      </c>
      <c r="F19" s="138"/>
      <c r="G19" s="138"/>
      <c r="H19" s="118">
        <f>IF(H21&lt;0,H21,0)</f>
        <v>-10000000</v>
      </c>
      <c r="I19" s="118">
        <f>IF(I21&lt;0,I21,0)</f>
        <v>0</v>
      </c>
      <c r="J19" s="118">
        <f>IF(J21&lt;0,J21,0)</f>
        <v>0</v>
      </c>
    </row>
    <row r="20" spans="1:14" x14ac:dyDescent="0.3">
      <c r="B20" s="117" t="s">
        <v>69</v>
      </c>
      <c r="E20" s="351">
        <f>SUM(H20:J20)</f>
        <v>15800000</v>
      </c>
      <c r="F20" s="141"/>
      <c r="G20" s="141"/>
      <c r="H20" s="142">
        <f>IF(H21&gt;0,H21,0)</f>
        <v>0</v>
      </c>
      <c r="I20" s="142">
        <f>IF(I21&gt;0,I21,0)</f>
        <v>800000</v>
      </c>
      <c r="J20" s="142">
        <f>IF(J21&gt;0,J21,0)</f>
        <v>15000000</v>
      </c>
    </row>
    <row r="21" spans="1:14" x14ac:dyDescent="0.3">
      <c r="B21" s="130" t="s">
        <v>70</v>
      </c>
      <c r="C21" s="143"/>
      <c r="D21" s="143"/>
      <c r="E21" s="350">
        <f>SUM(H21:J21)</f>
        <v>5800000</v>
      </c>
      <c r="F21" s="137"/>
      <c r="G21" s="137"/>
      <c r="H21" s="144">
        <f>H16</f>
        <v>-10000000</v>
      </c>
      <c r="I21" s="144">
        <f>I16</f>
        <v>800000</v>
      </c>
      <c r="J21" s="144">
        <f>J16</f>
        <v>15000000</v>
      </c>
    </row>
    <row r="22" spans="1:14" ht="14" thickBot="1" x14ac:dyDescent="0.35">
      <c r="B22" s="145"/>
      <c r="E22" s="352"/>
      <c r="F22" s="138"/>
      <c r="G22" s="138"/>
      <c r="H22" s="139"/>
      <c r="I22" s="139"/>
      <c r="J22" s="139"/>
    </row>
    <row r="23" spans="1:14" ht="14" thickBot="1" x14ac:dyDescent="0.35">
      <c r="B23" s="209" t="s">
        <v>92</v>
      </c>
      <c r="C23" s="217">
        <f>IRR(H21:J21,0.2)</f>
        <v>0.26539789456323115</v>
      </c>
      <c r="E23" s="352"/>
      <c r="F23" s="138"/>
      <c r="G23" s="138"/>
      <c r="H23" s="139"/>
      <c r="I23" s="139"/>
      <c r="J23" s="139"/>
    </row>
    <row r="24" spans="1:14" x14ac:dyDescent="0.3">
      <c r="B24" s="145"/>
      <c r="E24" s="352"/>
      <c r="F24" s="138"/>
      <c r="G24" s="138"/>
      <c r="H24" s="139"/>
      <c r="I24" s="139"/>
      <c r="J24" s="139"/>
    </row>
    <row r="25" spans="1:14" x14ac:dyDescent="0.3">
      <c r="B25" s="145"/>
      <c r="E25" s="352"/>
      <c r="F25" s="138"/>
      <c r="G25" s="138"/>
      <c r="H25" s="139"/>
      <c r="I25" s="139"/>
      <c r="J25" s="139"/>
    </row>
    <row r="26" spans="1:14" x14ac:dyDescent="0.3">
      <c r="B26" s="146" t="s">
        <v>206</v>
      </c>
      <c r="E26" s="350">
        <f>SUM(H26:J26)</f>
        <v>-9000000</v>
      </c>
      <c r="F26" s="138"/>
      <c r="G26" s="138"/>
      <c r="H26" s="138">
        <v>-9000000</v>
      </c>
      <c r="I26" s="138">
        <v>0</v>
      </c>
      <c r="J26" s="138">
        <v>0</v>
      </c>
    </row>
    <row r="27" spans="1:14" x14ac:dyDescent="0.3">
      <c r="B27" s="147"/>
      <c r="E27" s="352"/>
      <c r="F27" s="138"/>
      <c r="G27" s="138"/>
      <c r="H27" s="139"/>
      <c r="I27" s="139"/>
      <c r="J27" s="139"/>
    </row>
    <row r="28" spans="1:14" x14ac:dyDescent="0.3">
      <c r="A28" s="357" t="s">
        <v>186</v>
      </c>
      <c r="B28" s="111" t="s">
        <v>198</v>
      </c>
      <c r="C28" s="148" t="s">
        <v>72</v>
      </c>
      <c r="D28" s="147">
        <v>0.1</v>
      </c>
      <c r="E28" s="353"/>
      <c r="F28" s="149"/>
      <c r="G28" s="149"/>
      <c r="H28" s="139"/>
      <c r="I28" s="139"/>
      <c r="J28" s="139"/>
    </row>
    <row r="29" spans="1:14" x14ac:dyDescent="0.3">
      <c r="A29" s="358" t="s">
        <v>187</v>
      </c>
      <c r="B29" s="113" t="s">
        <v>58</v>
      </c>
      <c r="C29" s="150"/>
      <c r="D29" s="150"/>
      <c r="E29" s="354"/>
      <c r="F29" s="151"/>
      <c r="G29" s="151"/>
      <c r="H29" s="152">
        <f>+G33</f>
        <v>0</v>
      </c>
      <c r="I29" s="152">
        <f>+H33</f>
        <v>9000000</v>
      </c>
      <c r="J29" s="212">
        <f>+I33</f>
        <v>9180000</v>
      </c>
    </row>
    <row r="30" spans="1:14" x14ac:dyDescent="0.3">
      <c r="B30" s="114" t="s">
        <v>59</v>
      </c>
      <c r="C30" s="153"/>
      <c r="D30" s="153"/>
      <c r="E30" s="355">
        <f>SUM(H30:J30)</f>
        <v>9000000</v>
      </c>
      <c r="F30" s="154"/>
      <c r="G30" s="154"/>
      <c r="H30" s="155">
        <f>-H26</f>
        <v>9000000</v>
      </c>
      <c r="I30" s="155">
        <f>-I26</f>
        <v>0</v>
      </c>
      <c r="J30" s="213">
        <f>-J26</f>
        <v>0</v>
      </c>
    </row>
    <row r="31" spans="1:14" x14ac:dyDescent="0.3">
      <c r="B31" s="114" t="s">
        <v>60</v>
      </c>
      <c r="C31" s="153"/>
      <c r="D31" s="153"/>
      <c r="E31" s="355">
        <f>SUM(H31:J31)</f>
        <v>1818000</v>
      </c>
      <c r="F31" s="154"/>
      <c r="G31" s="154"/>
      <c r="H31" s="155">
        <f>+H29*(1+$D$28)-H29</f>
        <v>0</v>
      </c>
      <c r="I31" s="155">
        <f>+I29*(1+$D$28)-I29</f>
        <v>900000</v>
      </c>
      <c r="J31" s="213">
        <f>+J29*(1+$D$28)-J29</f>
        <v>918000</v>
      </c>
    </row>
    <row r="32" spans="1:14" x14ac:dyDescent="0.3">
      <c r="B32" s="114" t="s">
        <v>61</v>
      </c>
      <c r="C32" s="153"/>
      <c r="D32" s="153"/>
      <c r="E32" s="351">
        <f>SUM(H32:J32)</f>
        <v>-10818000</v>
      </c>
      <c r="F32" s="140"/>
      <c r="G32" s="140"/>
      <c r="H32" s="142">
        <f>MIN(0,MAX(-(H29+H30+H31),-$C$35*H21))</f>
        <v>0</v>
      </c>
      <c r="I32" s="142">
        <f>MIN(0,MAX(-(I29+I30+I31),-$C$35*I21))</f>
        <v>-720000</v>
      </c>
      <c r="J32" s="216">
        <f>MIN(0,MAX(-(J29+J30+J31),-$C$35*J21))</f>
        <v>-10098000</v>
      </c>
    </row>
    <row r="33" spans="1:10" x14ac:dyDescent="0.3">
      <c r="B33" s="114" t="s">
        <v>62</v>
      </c>
      <c r="C33" s="153"/>
      <c r="D33" s="153"/>
      <c r="E33" s="355">
        <f>SUM(E30:E32)</f>
        <v>0</v>
      </c>
      <c r="F33" s="154"/>
      <c r="G33" s="156"/>
      <c r="H33" s="155">
        <f>SUM(H29:H32)</f>
        <v>9000000</v>
      </c>
      <c r="I33" s="155">
        <f>SUM(I29:I32)</f>
        <v>9180000</v>
      </c>
      <c r="J33" s="213">
        <f>SUM(J29:J32)</f>
        <v>0</v>
      </c>
    </row>
    <row r="34" spans="1:10" x14ac:dyDescent="0.3">
      <c r="B34" s="114"/>
      <c r="C34" s="153"/>
      <c r="D34" s="153"/>
      <c r="E34" s="356"/>
      <c r="F34" s="157"/>
      <c r="G34" s="157"/>
      <c r="H34" s="155"/>
      <c r="I34" s="155"/>
      <c r="J34" s="213"/>
    </row>
    <row r="35" spans="1:10" x14ac:dyDescent="0.3">
      <c r="B35" s="115" t="s">
        <v>86</v>
      </c>
      <c r="C35" s="203">
        <v>0.9</v>
      </c>
      <c r="D35" s="158"/>
      <c r="E35" s="355">
        <f>+SUM(H35:J35)</f>
        <v>1818000</v>
      </c>
      <c r="F35" s="154"/>
      <c r="G35" s="154"/>
      <c r="H35" s="159">
        <f>+MIN(-(H30+H32),H29+H31)</f>
        <v>-9000000</v>
      </c>
      <c r="I35" s="159">
        <f>+MIN(-(I30+I32),I29+I31)</f>
        <v>720000</v>
      </c>
      <c r="J35" s="214">
        <f>+MIN(-(J30+J32),J29+J31)</f>
        <v>10098000</v>
      </c>
    </row>
    <row r="36" spans="1:10" x14ac:dyDescent="0.3">
      <c r="B36" s="115" t="s">
        <v>203</v>
      </c>
      <c r="C36" s="203">
        <v>0.1</v>
      </c>
      <c r="D36" s="160"/>
      <c r="E36" s="355">
        <f>+SUM(H36:J36)</f>
        <v>1202000</v>
      </c>
      <c r="F36" s="161"/>
      <c r="G36" s="161"/>
      <c r="H36" s="159">
        <f>-H32/$C$35*$C$36</f>
        <v>0</v>
      </c>
      <c r="I36" s="159">
        <f>-I32/$C$35*$C$36</f>
        <v>80000</v>
      </c>
      <c r="J36" s="214">
        <f>-J32/$C$35*$C$36</f>
        <v>1122000</v>
      </c>
    </row>
    <row r="37" spans="1:10" x14ac:dyDescent="0.3">
      <c r="B37" s="115" t="s">
        <v>204</v>
      </c>
      <c r="C37" s="203">
        <v>0</v>
      </c>
      <c r="D37" s="158"/>
      <c r="E37" s="355">
        <f>+SUM(H37:J37)</f>
        <v>0</v>
      </c>
      <c r="F37" s="161"/>
      <c r="G37" s="161"/>
      <c r="H37" s="159">
        <f>-H32/$C$35*$C$37</f>
        <v>0</v>
      </c>
      <c r="I37" s="159">
        <f>-I32/$C$35*$C$37</f>
        <v>0</v>
      </c>
      <c r="J37" s="214">
        <f>-J32/$C$35*$C$37</f>
        <v>0</v>
      </c>
    </row>
    <row r="38" spans="1:10" x14ac:dyDescent="0.3">
      <c r="B38" s="115"/>
      <c r="C38" s="162"/>
      <c r="D38" s="162"/>
      <c r="E38" s="355"/>
      <c r="F38" s="154"/>
      <c r="G38" s="154"/>
      <c r="H38" s="159"/>
      <c r="I38" s="159"/>
      <c r="J38" s="214"/>
    </row>
    <row r="39" spans="1:10" x14ac:dyDescent="0.3">
      <c r="B39" s="116" t="s">
        <v>64</v>
      </c>
      <c r="C39" s="163"/>
      <c r="D39" s="163"/>
      <c r="E39" s="351">
        <f>+SUM(H39:J39)</f>
        <v>3780000</v>
      </c>
      <c r="F39" s="140"/>
      <c r="G39" s="140"/>
      <c r="H39" s="164">
        <f>IF(H35&lt;0,0,H20-SUM(H35:H37))</f>
        <v>0</v>
      </c>
      <c r="I39" s="164">
        <f>IF(I35&lt;0,0,I20-SUM(I35:I37))</f>
        <v>0</v>
      </c>
      <c r="J39" s="215">
        <f>IF(J35&lt;0,0,J20-SUM(J35:J37))</f>
        <v>3780000</v>
      </c>
    </row>
    <row r="40" spans="1:10" x14ac:dyDescent="0.3">
      <c r="C40" s="135"/>
      <c r="D40" s="135"/>
      <c r="E40" s="352"/>
      <c r="F40" s="138"/>
      <c r="G40" s="370"/>
      <c r="H40" s="369"/>
      <c r="I40" s="139"/>
      <c r="J40" s="139"/>
    </row>
    <row r="41" spans="1:10" x14ac:dyDescent="0.3">
      <c r="A41" s="359" t="s">
        <v>188</v>
      </c>
      <c r="B41" s="111" t="s">
        <v>199</v>
      </c>
      <c r="C41" s="148" t="s">
        <v>72</v>
      </c>
      <c r="D41" s="147">
        <v>0.15</v>
      </c>
      <c r="E41" s="353"/>
      <c r="F41" s="149"/>
      <c r="G41" s="371"/>
      <c r="H41" s="369"/>
      <c r="I41" s="139"/>
      <c r="J41" s="139"/>
    </row>
    <row r="42" spans="1:10" x14ac:dyDescent="0.3">
      <c r="B42" s="113" t="s">
        <v>58</v>
      </c>
      <c r="C42" s="150"/>
      <c r="D42" s="150"/>
      <c r="E42" s="354"/>
      <c r="F42" s="151"/>
      <c r="G42" s="151"/>
      <c r="H42" s="152">
        <f>+G47</f>
        <v>0</v>
      </c>
      <c r="I42" s="152">
        <f>+H47</f>
        <v>9000000</v>
      </c>
      <c r="J42" s="212">
        <f>+I47</f>
        <v>9630000</v>
      </c>
    </row>
    <row r="43" spans="1:10" x14ac:dyDescent="0.3">
      <c r="B43" s="114" t="s">
        <v>59</v>
      </c>
      <c r="C43" s="153"/>
      <c r="D43" s="153"/>
      <c r="E43" s="355">
        <f>SUM(H43:J43)</f>
        <v>9000000</v>
      </c>
      <c r="F43" s="154"/>
      <c r="G43" s="154"/>
      <c r="H43" s="155">
        <f>+H30</f>
        <v>9000000</v>
      </c>
      <c r="I43" s="155">
        <f>+I30</f>
        <v>0</v>
      </c>
      <c r="J43" s="213">
        <f>+J30</f>
        <v>0</v>
      </c>
    </row>
    <row r="44" spans="1:10" x14ac:dyDescent="0.3">
      <c r="B44" s="114" t="s">
        <v>60</v>
      </c>
      <c r="C44" s="153"/>
      <c r="D44" s="153"/>
      <c r="E44" s="355">
        <f>SUM(H44:J44)</f>
        <v>2794500</v>
      </c>
      <c r="F44" s="154"/>
      <c r="G44" s="154"/>
      <c r="H44" s="155">
        <f>+H42*(1+$D$41)-H42</f>
        <v>0</v>
      </c>
      <c r="I44" s="155">
        <f>+I42*(1+$D$41)-I42</f>
        <v>1350000</v>
      </c>
      <c r="J44" s="213">
        <f>+J42*(1+$D$41)-J42</f>
        <v>1444500</v>
      </c>
    </row>
    <row r="45" spans="1:10" x14ac:dyDescent="0.3">
      <c r="B45" s="114" t="s">
        <v>61</v>
      </c>
      <c r="C45" s="153"/>
      <c r="D45" s="153"/>
      <c r="E45" s="355">
        <f>SUM(H45:J45)</f>
        <v>-10818000</v>
      </c>
      <c r="F45" s="154"/>
      <c r="G45" s="154"/>
      <c r="H45" s="155">
        <f>+H$32</f>
        <v>0</v>
      </c>
      <c r="I45" s="155">
        <f>+I$32</f>
        <v>-720000</v>
      </c>
      <c r="J45" s="213">
        <f>+J$32</f>
        <v>-10098000</v>
      </c>
    </row>
    <row r="46" spans="1:10" x14ac:dyDescent="0.3">
      <c r="B46" s="114" t="s">
        <v>66</v>
      </c>
      <c r="C46" s="153"/>
      <c r="D46" s="153"/>
      <c r="E46" s="351">
        <f>SUM(H46:J46)</f>
        <v>-976500</v>
      </c>
      <c r="F46" s="140"/>
      <c r="G46" s="140"/>
      <c r="H46" s="142">
        <f>MIN(0,MAX(-(H42+H44+H45),-$C$49*H39))</f>
        <v>0</v>
      </c>
      <c r="I46" s="142">
        <f>MIN(0,MAX(-(I42+I44+I45),-$C$49*I39))</f>
        <v>0</v>
      </c>
      <c r="J46" s="216">
        <f>MIN(0,MAX(-(J42+J44+J45),-$C$49*J39))</f>
        <v>-976500</v>
      </c>
    </row>
    <row r="47" spans="1:10" x14ac:dyDescent="0.3">
      <c r="B47" s="114" t="s">
        <v>62</v>
      </c>
      <c r="C47" s="153"/>
      <c r="D47" s="153"/>
      <c r="E47" s="355">
        <f>SUM(E43:E46)</f>
        <v>0</v>
      </c>
      <c r="F47" s="154"/>
      <c r="G47" s="156"/>
      <c r="H47" s="155">
        <f>SUM(H42:H46)</f>
        <v>9000000</v>
      </c>
      <c r="I47" s="155">
        <f>SUM(I42:I46)</f>
        <v>9630000</v>
      </c>
      <c r="J47" s="213">
        <f>SUM(J42:J46)</f>
        <v>0</v>
      </c>
    </row>
    <row r="48" spans="1:10" x14ac:dyDescent="0.3">
      <c r="B48" s="114"/>
      <c r="C48" s="153"/>
      <c r="D48" s="153"/>
      <c r="E48" s="356"/>
      <c r="F48" s="157"/>
      <c r="G48" s="157"/>
      <c r="H48" s="155"/>
      <c r="I48" s="155"/>
      <c r="J48" s="213"/>
    </row>
    <row r="49" spans="1:10" x14ac:dyDescent="0.3">
      <c r="B49" s="115" t="s">
        <v>86</v>
      </c>
      <c r="C49" s="203">
        <v>0.8</v>
      </c>
      <c r="D49" s="158"/>
      <c r="E49" s="355">
        <f>SUM(H49:J49)</f>
        <v>976500</v>
      </c>
      <c r="F49" s="154"/>
      <c r="G49" s="154"/>
      <c r="H49" s="159">
        <f>MAX(0,MIN(-(H43+H46),H42+H44))</f>
        <v>0</v>
      </c>
      <c r="I49" s="159">
        <f>MAX(0,MIN(-(I43+I46),I42+I44))</f>
        <v>0</v>
      </c>
      <c r="J49" s="214">
        <f>MAX(0,MIN(-(J43+J46),J42+J44))</f>
        <v>976500</v>
      </c>
    </row>
    <row r="50" spans="1:10" x14ac:dyDescent="0.3">
      <c r="B50" s="115" t="s">
        <v>203</v>
      </c>
      <c r="C50" s="203">
        <v>0.1</v>
      </c>
      <c r="D50" s="158"/>
      <c r="E50" s="355">
        <f>SUM(H50:J50)</f>
        <v>122062.5</v>
      </c>
      <c r="F50" s="154"/>
      <c r="G50" s="154"/>
      <c r="H50" s="159">
        <f>-H46/$C$49*$C$50</f>
        <v>0</v>
      </c>
      <c r="I50" s="159">
        <f>-I46/$C$49*$C$50</f>
        <v>0</v>
      </c>
      <c r="J50" s="214">
        <f>-J46/$C$49*$C$50</f>
        <v>122062.5</v>
      </c>
    </row>
    <row r="51" spans="1:10" x14ac:dyDescent="0.3">
      <c r="B51" s="115" t="s">
        <v>204</v>
      </c>
      <c r="C51" s="203">
        <v>0.1</v>
      </c>
      <c r="D51" s="158"/>
      <c r="E51" s="355">
        <f>+SUM(H51:J51)</f>
        <v>122062.5</v>
      </c>
      <c r="F51" s="161"/>
      <c r="G51" s="161"/>
      <c r="H51" s="159">
        <f>-H46/$C$49*$C$51</f>
        <v>0</v>
      </c>
      <c r="I51" s="159">
        <f>-I46/$C$49*$C$51</f>
        <v>0</v>
      </c>
      <c r="J51" s="214">
        <f>-J46/$C$49*$C$51</f>
        <v>122062.5</v>
      </c>
    </row>
    <row r="52" spans="1:10" x14ac:dyDescent="0.3">
      <c r="B52" s="115"/>
      <c r="C52" s="162"/>
      <c r="D52" s="162"/>
      <c r="E52" s="356"/>
      <c r="F52" s="154"/>
      <c r="G52" s="154"/>
      <c r="H52" s="159"/>
      <c r="I52" s="159"/>
      <c r="J52" s="214"/>
    </row>
    <row r="53" spans="1:10" x14ac:dyDescent="0.3">
      <c r="B53" s="116" t="s">
        <v>64</v>
      </c>
      <c r="C53" s="163"/>
      <c r="D53" s="163"/>
      <c r="E53" s="351">
        <f>+SUM(H53:J53)</f>
        <v>2559375</v>
      </c>
      <c r="F53" s="140"/>
      <c r="G53" s="140"/>
      <c r="H53" s="164">
        <f>+H39-SUM(H49:H51)</f>
        <v>0</v>
      </c>
      <c r="I53" s="164">
        <f>+I39-SUM(I49:I51)</f>
        <v>0</v>
      </c>
      <c r="J53" s="215">
        <f>+J39-SUM(J49:J51)</f>
        <v>2559375</v>
      </c>
    </row>
    <row r="54" spans="1:10" x14ac:dyDescent="0.3">
      <c r="C54" s="165"/>
      <c r="D54" s="165"/>
      <c r="E54" s="353"/>
      <c r="F54" s="149"/>
      <c r="G54" s="149"/>
      <c r="H54" s="369"/>
      <c r="I54" s="365"/>
      <c r="J54" s="365"/>
    </row>
    <row r="55" spans="1:10" x14ac:dyDescent="0.3">
      <c r="A55" s="359" t="s">
        <v>188</v>
      </c>
      <c r="B55" s="111" t="s">
        <v>200</v>
      </c>
      <c r="C55" s="210" t="s">
        <v>80</v>
      </c>
      <c r="D55" s="146">
        <f>D41</f>
        <v>0.15</v>
      </c>
      <c r="E55" s="352"/>
      <c r="F55" s="138"/>
      <c r="G55" s="138"/>
      <c r="H55" s="368"/>
    </row>
    <row r="56" spans="1:10" x14ac:dyDescent="0.3">
      <c r="B56" s="167" t="s">
        <v>86</v>
      </c>
      <c r="C56" s="211">
        <v>0.4</v>
      </c>
      <c r="D56" s="166"/>
      <c r="E56" s="366">
        <f>SUM(H56:J56)</f>
        <v>1023750</v>
      </c>
      <c r="F56" s="151"/>
      <c r="G56" s="151"/>
      <c r="H56" s="152">
        <f>+$C$56*H53</f>
        <v>0</v>
      </c>
      <c r="I56" s="152">
        <f>+$C$56*I53</f>
        <v>0</v>
      </c>
      <c r="J56" s="212">
        <f>+$C$56*J53</f>
        <v>1023750</v>
      </c>
    </row>
    <row r="57" spans="1:10" x14ac:dyDescent="0.3">
      <c r="B57" s="115" t="s">
        <v>203</v>
      </c>
      <c r="C57" s="203">
        <v>0.1</v>
      </c>
      <c r="D57" s="158"/>
      <c r="E57" s="355">
        <f>SUM(H57:J57)</f>
        <v>255937.5</v>
      </c>
      <c r="F57" s="157"/>
      <c r="G57" s="157"/>
      <c r="H57" s="155">
        <f>+$C$57*H53</f>
        <v>0</v>
      </c>
      <c r="I57" s="155">
        <f>+$C$57*I53</f>
        <v>0</v>
      </c>
      <c r="J57" s="213">
        <f>+$C$57*J53</f>
        <v>255937.5</v>
      </c>
    </row>
    <row r="58" spans="1:10" x14ac:dyDescent="0.3">
      <c r="B58" s="115" t="s">
        <v>204</v>
      </c>
      <c r="C58" s="203">
        <v>0.5</v>
      </c>
      <c r="D58" s="158"/>
      <c r="E58" s="355">
        <f>+SUM(H58:J58)</f>
        <v>1279687.5</v>
      </c>
      <c r="F58" s="169"/>
      <c r="G58" s="169"/>
      <c r="H58" s="155">
        <f>+$C$58*H53</f>
        <v>0</v>
      </c>
      <c r="I58" s="155">
        <f>+$C$58*I53</f>
        <v>0</v>
      </c>
      <c r="J58" s="213">
        <f>+$C$58*J53</f>
        <v>1279687.5</v>
      </c>
    </row>
    <row r="59" spans="1:10" x14ac:dyDescent="0.3">
      <c r="B59" s="115"/>
      <c r="C59" s="162"/>
      <c r="D59" s="162"/>
      <c r="E59" s="356"/>
      <c r="F59" s="154"/>
      <c r="G59" s="154"/>
      <c r="H59" s="159"/>
      <c r="I59" s="159"/>
      <c r="J59" s="214"/>
    </row>
    <row r="60" spans="1:10" x14ac:dyDescent="0.3">
      <c r="B60" s="116" t="s">
        <v>64</v>
      </c>
      <c r="C60" s="170"/>
      <c r="D60" s="170"/>
      <c r="E60" s="351">
        <f>+SUM(H60:J60)</f>
        <v>0</v>
      </c>
      <c r="F60" s="140"/>
      <c r="G60" s="140"/>
      <c r="H60" s="164">
        <f>+H53-SUM(H56:H58)</f>
        <v>0</v>
      </c>
      <c r="I60" s="164">
        <f>+I53-SUM(I56:I58)</f>
        <v>0</v>
      </c>
      <c r="J60" s="215">
        <f>+J53-SUM(J56:J58)</f>
        <v>0</v>
      </c>
    </row>
    <row r="61" spans="1:10" ht="33" customHeight="1" x14ac:dyDescent="0.3">
      <c r="E61" s="372"/>
      <c r="F61" s="138"/>
      <c r="G61" s="138"/>
      <c r="H61" s="139"/>
      <c r="I61" s="139"/>
      <c r="J61" s="139"/>
    </row>
    <row r="62" spans="1:10" x14ac:dyDescent="0.3">
      <c r="B62" s="136" t="s">
        <v>81</v>
      </c>
      <c r="E62" s="138"/>
      <c r="F62" s="138"/>
      <c r="G62" s="138"/>
      <c r="H62" s="208" t="s">
        <v>101</v>
      </c>
      <c r="I62" s="208">
        <v>2011</v>
      </c>
      <c r="J62" s="208">
        <v>2012</v>
      </c>
    </row>
    <row r="63" spans="1:10" x14ac:dyDescent="0.3">
      <c r="E63" s="138"/>
      <c r="F63" s="138"/>
      <c r="G63" s="138"/>
      <c r="H63" s="139"/>
    </row>
    <row r="64" spans="1:10" x14ac:dyDescent="0.3">
      <c r="B64" s="171" t="s">
        <v>82</v>
      </c>
      <c r="E64" s="138"/>
      <c r="F64" s="138"/>
      <c r="G64" s="138"/>
      <c r="H64" s="144">
        <f>H21</f>
        <v>-10000000</v>
      </c>
      <c r="I64" s="144">
        <f>I21</f>
        <v>800000</v>
      </c>
      <c r="J64" s="144">
        <f>J21</f>
        <v>15000000</v>
      </c>
    </row>
    <row r="65" spans="2:10" x14ac:dyDescent="0.3">
      <c r="B65" s="172" t="s">
        <v>33</v>
      </c>
      <c r="C65" s="173">
        <f>IRR(H64:J64,0.01)</f>
        <v>0.26539789456323115</v>
      </c>
      <c r="D65" s="162"/>
      <c r="E65" s="154"/>
      <c r="F65" s="154"/>
      <c r="G65" s="154"/>
      <c r="H65" s="138"/>
    </row>
    <row r="66" spans="2:10" x14ac:dyDescent="0.3">
      <c r="B66" s="174" t="s">
        <v>87</v>
      </c>
      <c r="C66" s="214">
        <f>SUM(H64:J64)</f>
        <v>5800000</v>
      </c>
      <c r="D66" s="175"/>
      <c r="E66" s="159"/>
      <c r="F66" s="159"/>
      <c r="G66" s="159"/>
      <c r="H66" s="138"/>
    </row>
    <row r="67" spans="2:10" x14ac:dyDescent="0.3">
      <c r="B67" s="174" t="s">
        <v>84</v>
      </c>
      <c r="C67" s="214">
        <f>-SUMIF(H64:J64,"&lt;0",H64:J64)</f>
        <v>10000000</v>
      </c>
      <c r="D67" s="175"/>
      <c r="E67" s="159"/>
      <c r="F67" s="159"/>
      <c r="G67" s="159"/>
      <c r="H67" s="138"/>
    </row>
    <row r="68" spans="2:10" x14ac:dyDescent="0.3">
      <c r="B68" s="176" t="s">
        <v>207</v>
      </c>
      <c r="C68" s="177">
        <f>(C66+C67)/C67</f>
        <v>1.58</v>
      </c>
      <c r="D68" s="178"/>
      <c r="E68" s="179"/>
      <c r="F68" s="179"/>
      <c r="G68" s="179"/>
      <c r="H68" s="138"/>
    </row>
    <row r="69" spans="2:10" x14ac:dyDescent="0.3">
      <c r="E69" s="138"/>
      <c r="F69" s="138"/>
      <c r="G69" s="138"/>
      <c r="H69" s="139"/>
    </row>
    <row r="70" spans="2:10" x14ac:dyDescent="0.3">
      <c r="B70" s="180" t="s">
        <v>86</v>
      </c>
      <c r="E70" s="138"/>
      <c r="F70" s="138"/>
      <c r="G70" s="138"/>
      <c r="H70" s="144">
        <f>H35+H49+H56</f>
        <v>-9000000</v>
      </c>
      <c r="I70" s="144">
        <f>I35+I49+I56</f>
        <v>720000</v>
      </c>
      <c r="J70" s="144">
        <f>J35+J49+J56</f>
        <v>12098250</v>
      </c>
    </row>
    <row r="71" spans="2:10" x14ac:dyDescent="0.3">
      <c r="B71" s="172" t="s">
        <v>33</v>
      </c>
      <c r="C71" s="173">
        <f>IRR(H70:J70)</f>
        <v>0.20010775361601651</v>
      </c>
      <c r="D71" s="162"/>
      <c r="E71" s="154"/>
      <c r="F71" s="154"/>
      <c r="G71" s="154"/>
      <c r="H71" s="139"/>
    </row>
    <row r="72" spans="2:10" x14ac:dyDescent="0.3">
      <c r="B72" s="174" t="s">
        <v>87</v>
      </c>
      <c r="C72" s="214">
        <f>SUM(H70:J70)</f>
        <v>3818250</v>
      </c>
      <c r="D72" s="175"/>
      <c r="E72" s="159"/>
      <c r="F72" s="159"/>
      <c r="G72" s="159"/>
      <c r="H72" s="139"/>
    </row>
    <row r="73" spans="2:10" x14ac:dyDescent="0.3">
      <c r="B73" s="174" t="s">
        <v>84</v>
      </c>
      <c r="C73" s="214">
        <f>-SUMIF(H70:J70,"&lt;0",H70:J70)</f>
        <v>9000000</v>
      </c>
      <c r="D73" s="175"/>
      <c r="E73" s="159"/>
      <c r="F73" s="159"/>
      <c r="G73" s="159"/>
      <c r="H73" s="139"/>
    </row>
    <row r="74" spans="2:10" x14ac:dyDescent="0.3">
      <c r="B74" s="176" t="s">
        <v>207</v>
      </c>
      <c r="C74" s="177">
        <f>(C72+C73)/C73</f>
        <v>1.42425</v>
      </c>
      <c r="D74" s="178"/>
      <c r="E74" s="179"/>
      <c r="F74" s="179"/>
      <c r="G74" s="179"/>
      <c r="H74" s="139"/>
    </row>
    <row r="75" spans="2:10" x14ac:dyDescent="0.3">
      <c r="E75" s="138"/>
      <c r="F75" s="138"/>
      <c r="G75" s="138"/>
      <c r="H75" s="139"/>
    </row>
    <row r="76" spans="2:10" x14ac:dyDescent="0.3">
      <c r="B76" s="180" t="s">
        <v>202</v>
      </c>
      <c r="E76" s="137"/>
      <c r="F76" s="138"/>
      <c r="G76" s="138"/>
      <c r="H76" s="139"/>
    </row>
    <row r="77" spans="2:10" x14ac:dyDescent="0.3">
      <c r="B77" s="181" t="s">
        <v>130</v>
      </c>
      <c r="C77" s="219">
        <f>SUM(H77:J77)</f>
        <v>-1000000</v>
      </c>
      <c r="D77" s="182"/>
      <c r="E77" s="154"/>
      <c r="F77" s="157"/>
      <c r="G77" s="138"/>
      <c r="H77" s="139">
        <f>H19+H30</f>
        <v>-1000000</v>
      </c>
      <c r="I77" s="139">
        <f>I19+I30</f>
        <v>0</v>
      </c>
      <c r="J77" s="139">
        <f>J19+J30</f>
        <v>0</v>
      </c>
    </row>
    <row r="78" spans="2:10" x14ac:dyDescent="0.3">
      <c r="B78" s="183" t="s">
        <v>203</v>
      </c>
      <c r="C78" s="220">
        <f>SUM(H78:J78)</f>
        <v>1580000</v>
      </c>
      <c r="D78" s="182"/>
      <c r="E78" s="154"/>
      <c r="F78" s="157"/>
      <c r="G78" s="138"/>
      <c r="H78" s="139">
        <f t="shared" ref="H78:J79" si="0">+H36+H50+H57</f>
        <v>0</v>
      </c>
      <c r="I78" s="139">
        <f t="shared" si="0"/>
        <v>80000</v>
      </c>
      <c r="J78" s="139">
        <f t="shared" si="0"/>
        <v>1500000</v>
      </c>
    </row>
    <row r="79" spans="2:10" ht="15" x14ac:dyDescent="0.45">
      <c r="B79" s="183" t="s">
        <v>204</v>
      </c>
      <c r="C79" s="221">
        <f>SUM(H79:J79)</f>
        <v>1401750</v>
      </c>
      <c r="D79" s="182"/>
      <c r="E79" s="154"/>
      <c r="F79" s="157"/>
      <c r="G79" s="141"/>
      <c r="H79" s="142">
        <f t="shared" si="0"/>
        <v>0</v>
      </c>
      <c r="I79" s="142">
        <f t="shared" si="0"/>
        <v>0</v>
      </c>
      <c r="J79" s="142">
        <f t="shared" si="0"/>
        <v>1401750</v>
      </c>
    </row>
    <row r="80" spans="2:10" x14ac:dyDescent="0.3">
      <c r="B80" s="174" t="s">
        <v>87</v>
      </c>
      <c r="C80" s="222">
        <f>SUM(H80:J80)</f>
        <v>1981750</v>
      </c>
      <c r="D80" s="182"/>
      <c r="E80" s="158"/>
      <c r="F80" s="154"/>
      <c r="G80" s="137"/>
      <c r="H80" s="144">
        <f>SUM(H77:H79)</f>
        <v>-1000000</v>
      </c>
      <c r="I80" s="144">
        <f>SUM(I77:I79)</f>
        <v>80000</v>
      </c>
      <c r="J80" s="144">
        <f>SUM(J77:J79)</f>
        <v>2901750</v>
      </c>
    </row>
    <row r="81" spans="2:10" x14ac:dyDescent="0.3">
      <c r="B81" s="174"/>
      <c r="C81" s="184"/>
      <c r="D81" s="182"/>
      <c r="E81" s="138"/>
      <c r="F81" s="138"/>
      <c r="G81" s="138"/>
      <c r="H81" s="144"/>
    </row>
    <row r="82" spans="2:10" x14ac:dyDescent="0.3">
      <c r="B82" s="174" t="s">
        <v>33</v>
      </c>
      <c r="C82" s="185">
        <f>IF(C9=0,"NA",(IRR(H80:J80,0.01)))</f>
        <v>0.74392194656914978</v>
      </c>
      <c r="D82" s="186"/>
      <c r="E82" s="154"/>
      <c r="F82" s="154"/>
      <c r="G82" s="154"/>
      <c r="H82" s="139"/>
    </row>
    <row r="83" spans="2:10" x14ac:dyDescent="0.3">
      <c r="B83" s="174" t="s">
        <v>84</v>
      </c>
      <c r="C83" s="223">
        <f>IF(C9=0,"NA",-SUMIF(H80:J80,"&lt;0",H80:J80))</f>
        <v>1000000</v>
      </c>
      <c r="D83" s="187"/>
      <c r="E83" s="159"/>
      <c r="F83" s="159"/>
      <c r="G83" s="159"/>
      <c r="H83" s="139"/>
    </row>
    <row r="84" spans="2:10" x14ac:dyDescent="0.3">
      <c r="B84" s="176" t="s">
        <v>207</v>
      </c>
      <c r="C84" s="177">
        <f>(C80+C83)/C83</f>
        <v>2.9817499999999999</v>
      </c>
      <c r="D84" s="178"/>
      <c r="E84" s="179"/>
      <c r="F84" s="179"/>
      <c r="G84" s="179"/>
      <c r="H84" s="139"/>
    </row>
    <row r="85" spans="2:10" ht="14" thickBot="1" x14ac:dyDescent="0.35">
      <c r="H85" s="188"/>
    </row>
    <row r="86" spans="2:10" x14ac:dyDescent="0.3">
      <c r="B86" s="189" t="s">
        <v>88</v>
      </c>
      <c r="C86" s="190">
        <f>+SUM(H21:J21)-C72-C80</f>
        <v>0</v>
      </c>
      <c r="D86" s="191"/>
      <c r="E86" s="138"/>
      <c r="F86" s="192"/>
      <c r="G86" s="367"/>
      <c r="H86" s="137"/>
      <c r="I86" s="137"/>
      <c r="J86" s="137"/>
    </row>
    <row r="87" spans="2:10" ht="14" thickBot="1" x14ac:dyDescent="0.35">
      <c r="B87" s="193" t="s">
        <v>89</v>
      </c>
      <c r="C87" s="194"/>
      <c r="D87" s="195"/>
      <c r="E87" s="196"/>
      <c r="F87" s="196"/>
      <c r="G87" s="196"/>
    </row>
    <row r="88" spans="2:10" x14ac:dyDescent="0.3">
      <c r="B88" s="197"/>
      <c r="C88" s="195"/>
      <c r="D88" s="195"/>
      <c r="E88" s="196"/>
      <c r="F88" s="196"/>
      <c r="G88" s="196"/>
    </row>
    <row r="89" spans="2:10" x14ac:dyDescent="0.3">
      <c r="B89" s="130" t="s">
        <v>90</v>
      </c>
      <c r="F89" s="198"/>
      <c r="G89" s="198"/>
    </row>
    <row r="90" spans="2:10" x14ac:dyDescent="0.3">
      <c r="B90" s="130"/>
      <c r="C90" s="199" t="s">
        <v>50</v>
      </c>
      <c r="D90" s="199"/>
      <c r="E90" s="199" t="s">
        <v>91</v>
      </c>
      <c r="F90" s="198"/>
      <c r="G90" s="198"/>
    </row>
    <row r="91" spans="2:10" x14ac:dyDescent="0.3">
      <c r="B91" s="198" t="s">
        <v>57</v>
      </c>
      <c r="C91" s="200">
        <f>D28</f>
        <v>0.1</v>
      </c>
      <c r="D91" s="200"/>
      <c r="E91" s="201">
        <f>IRR(H91:J91,0.01)</f>
        <v>9.9999999999999867E-2</v>
      </c>
      <c r="F91" s="135"/>
      <c r="G91" s="135"/>
      <c r="H91" s="138">
        <f>-(H30+H32)</f>
        <v>-9000000</v>
      </c>
      <c r="I91" s="138">
        <f>-(I30+I32)</f>
        <v>720000</v>
      </c>
      <c r="J91" s="138">
        <f>-(J30+J32)</f>
        <v>10098000</v>
      </c>
    </row>
    <row r="92" spans="2:10" x14ac:dyDescent="0.3">
      <c r="B92" s="198" t="s">
        <v>65</v>
      </c>
      <c r="C92" s="200">
        <f>D41</f>
        <v>0.15</v>
      </c>
      <c r="D92" s="200"/>
      <c r="E92" s="201">
        <f>IRR(H92:J92,0.01)</f>
        <v>0.14999999999999925</v>
      </c>
      <c r="F92" s="135"/>
      <c r="G92" s="135"/>
      <c r="H92" s="138">
        <f>-(H43+H45+H46)</f>
        <v>-9000000</v>
      </c>
      <c r="I92" s="138">
        <f>-(I43+I45+I46)</f>
        <v>720000</v>
      </c>
      <c r="J92" s="138">
        <f>-(J43+J45+J46)</f>
        <v>11074500</v>
      </c>
    </row>
    <row r="93" spans="2:10" x14ac:dyDescent="0.3">
      <c r="E93" s="135"/>
      <c r="F93" s="135"/>
      <c r="G93" s="135"/>
      <c r="H93" s="135"/>
    </row>
    <row r="94" spans="2:10" x14ac:dyDescent="0.3">
      <c r="E94" s="135"/>
      <c r="F94" s="135"/>
      <c r="G94" s="135"/>
      <c r="H94" s="135"/>
    </row>
    <row r="95" spans="2:10" x14ac:dyDescent="0.3">
      <c r="B95" s="130" t="s">
        <v>214</v>
      </c>
    </row>
    <row r="96" spans="2:10" x14ac:dyDescent="0.3">
      <c r="C96" s="199" t="s">
        <v>208</v>
      </c>
      <c r="E96" s="117" t="s">
        <v>209</v>
      </c>
      <c r="F96" s="117" t="s">
        <v>210</v>
      </c>
    </row>
    <row r="97" spans="2:5" x14ac:dyDescent="0.3">
      <c r="B97" s="198" t="s">
        <v>2</v>
      </c>
      <c r="C97" s="373">
        <f>C9</f>
        <v>0.1</v>
      </c>
      <c r="D97" s="198"/>
      <c r="E97" s="373">
        <f>1-E98</f>
        <v>0.34168103448275866</v>
      </c>
    </row>
    <row r="98" spans="2:5" x14ac:dyDescent="0.3">
      <c r="B98" s="198" t="s">
        <v>1</v>
      </c>
      <c r="C98" s="373">
        <f>C10</f>
        <v>0.9</v>
      </c>
      <c r="D98" s="198"/>
      <c r="E98" s="373">
        <f>C72/C66</f>
        <v>0.65831896551724134</v>
      </c>
    </row>
    <row r="118" spans="2:5" ht="15.5" x14ac:dyDescent="0.35">
      <c r="E118" s="374" t="s">
        <v>210</v>
      </c>
    </row>
    <row r="120" spans="2:5" x14ac:dyDescent="0.3">
      <c r="B120" s="130" t="s">
        <v>215</v>
      </c>
    </row>
    <row r="122" spans="2:5" x14ac:dyDescent="0.3">
      <c r="C122" s="134" t="s">
        <v>211</v>
      </c>
      <c r="D122" s="134" t="s">
        <v>213</v>
      </c>
    </row>
    <row r="123" spans="2:5" x14ac:dyDescent="0.3">
      <c r="B123" s="378" t="s">
        <v>57</v>
      </c>
      <c r="C123" s="375">
        <f>SUM(E35:E37)</f>
        <v>3020000</v>
      </c>
      <c r="D123" s="373">
        <f>C123/C126</f>
        <v>0.44411764705882351</v>
      </c>
    </row>
    <row r="124" spans="2:5" x14ac:dyDescent="0.3">
      <c r="B124" s="378" t="s">
        <v>65</v>
      </c>
      <c r="C124" s="375">
        <f>SUM(E49:E51)</f>
        <v>1220625</v>
      </c>
      <c r="D124" s="373">
        <f>C124/C126</f>
        <v>0.17950367647058824</v>
      </c>
    </row>
    <row r="125" spans="2:5" x14ac:dyDescent="0.3">
      <c r="B125" s="378" t="s">
        <v>79</v>
      </c>
      <c r="C125" s="377">
        <f>SUM(E56:E58)</f>
        <v>2559375</v>
      </c>
      <c r="D125" s="381">
        <f>C125/C126</f>
        <v>0.37637867647058826</v>
      </c>
    </row>
    <row r="126" spans="2:5" x14ac:dyDescent="0.3">
      <c r="B126" s="379" t="s">
        <v>0</v>
      </c>
      <c r="C126" s="376">
        <f>SUM(C123:C125)</f>
        <v>6800000</v>
      </c>
      <c r="D126" s="382">
        <f>SUM(D123:D125)</f>
        <v>1</v>
      </c>
    </row>
    <row r="127" spans="2:5" x14ac:dyDescent="0.3">
      <c r="B127" s="380" t="s">
        <v>212</v>
      </c>
      <c r="C127" s="377">
        <f>C77</f>
        <v>-1000000</v>
      </c>
    </row>
    <row r="128" spans="2:5" x14ac:dyDescent="0.3">
      <c r="B128" s="148" t="s">
        <v>87</v>
      </c>
      <c r="C128" s="376">
        <f>SUM(C126:C127)</f>
        <v>5800000</v>
      </c>
    </row>
  </sheetData>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F11"/>
  <sheetViews>
    <sheetView zoomScale="140" zoomScaleNormal="140" workbookViewId="0"/>
  </sheetViews>
  <sheetFormatPr defaultColWidth="9" defaultRowHeight="18.5" x14ac:dyDescent="0.45"/>
  <cols>
    <col min="1" max="2" width="9" style="363"/>
    <col min="3" max="3" width="12.23046875" style="363" customWidth="1"/>
    <col min="4" max="4" width="13.4609375" style="363" customWidth="1"/>
    <col min="5" max="5" width="13.15234375" style="363" customWidth="1"/>
    <col min="6" max="16384" width="9" style="363"/>
  </cols>
  <sheetData>
    <row r="2" spans="2:6" x14ac:dyDescent="0.45">
      <c r="B2" s="439" t="s">
        <v>219</v>
      </c>
      <c r="C2" s="439"/>
      <c r="D2" s="439"/>
      <c r="E2" s="439"/>
      <c r="F2" s="439"/>
    </row>
    <row r="3" spans="2:6" x14ac:dyDescent="0.45">
      <c r="B3" s="383"/>
      <c r="C3" s="383"/>
      <c r="D3" s="383"/>
      <c r="E3" s="383"/>
      <c r="F3" s="383"/>
    </row>
    <row r="4" spans="2:6" x14ac:dyDescent="0.45">
      <c r="B4" s="440" t="s">
        <v>103</v>
      </c>
      <c r="C4" s="440"/>
      <c r="D4" s="440"/>
      <c r="E4" s="440"/>
      <c r="F4" s="440"/>
    </row>
    <row r="6" spans="2:6" x14ac:dyDescent="0.45">
      <c r="B6" s="384" t="s">
        <v>104</v>
      </c>
      <c r="C6" s="385"/>
      <c r="D6" s="385"/>
      <c r="E6" s="385"/>
      <c r="F6" s="386"/>
    </row>
    <row r="7" spans="2:6" x14ac:dyDescent="0.45">
      <c r="B7" s="387"/>
      <c r="C7" s="441" t="s">
        <v>217</v>
      </c>
      <c r="D7" s="441"/>
      <c r="E7" s="388" t="s">
        <v>5</v>
      </c>
      <c r="F7" s="389"/>
    </row>
    <row r="8" spans="2:6" ht="6.75" customHeight="1" x14ac:dyDescent="0.45">
      <c r="B8" s="390"/>
      <c r="C8" s="364"/>
      <c r="D8" s="364"/>
      <c r="E8" s="390"/>
      <c r="F8" s="390"/>
    </row>
    <row r="9" spans="2:6" x14ac:dyDescent="0.45">
      <c r="B9" s="390"/>
      <c r="C9" s="390"/>
      <c r="D9" s="390"/>
      <c r="E9" s="390"/>
      <c r="F9" s="390"/>
    </row>
    <row r="10" spans="2:6" collapsed="1" x14ac:dyDescent="0.45">
      <c r="B10" s="391" t="s">
        <v>105</v>
      </c>
      <c r="C10" s="385"/>
      <c r="D10" s="385"/>
      <c r="E10" s="392"/>
      <c r="F10" s="393"/>
    </row>
    <row r="11" spans="2:6" x14ac:dyDescent="0.45">
      <c r="B11" s="442" t="s">
        <v>2</v>
      </c>
      <c r="C11" s="443"/>
      <c r="D11" s="396" t="s">
        <v>218</v>
      </c>
      <c r="E11" s="394"/>
      <c r="F11" s="395"/>
    </row>
  </sheetData>
  <mergeCells count="4">
    <mergeCell ref="B2:F2"/>
    <mergeCell ref="B4:F4"/>
    <mergeCell ref="C7:D7"/>
    <mergeCell ref="B11:C11"/>
  </mergeCells>
  <pageMargins left="0.7" right="0.7" top="0.75" bottom="0.75" header="0.3" footer="0.3"/>
  <pageSetup orientation="landscape" verticalDpi="1200" r:id="rId1"/>
  <headerFooter>
    <oddFooter>&amp;L&amp;"Garamond,Regular"&amp;12Copyright 2009 Real Estate Financial Modeling, LLC.&amp;R&amp;"Garamond,Regular"&amp;12Tab: &amp;A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FN119"/>
  <sheetViews>
    <sheetView zoomScale="110" zoomScaleNormal="110" zoomScaleSheetLayoutView="100" workbookViewId="0"/>
  </sheetViews>
  <sheetFormatPr defaultColWidth="9" defaultRowHeight="13" x14ac:dyDescent="0.3"/>
  <cols>
    <col min="1" max="1" width="13.84375" style="117" customWidth="1"/>
    <col min="2" max="2" width="27.15234375" style="117" customWidth="1"/>
    <col min="3" max="3" width="15.15234375" style="117" customWidth="1"/>
    <col min="4" max="4" width="7.61328125" style="117" customWidth="1"/>
    <col min="5" max="5" width="16.3828125" style="117" customWidth="1"/>
    <col min="6" max="6" width="2.3828125" style="117" customWidth="1"/>
    <col min="7" max="7" width="3.3828125" style="117" customWidth="1"/>
    <col min="8" max="8" width="13.23046875" style="117" customWidth="1" collapsed="1"/>
    <col min="9" max="19" width="13.23046875" style="117" customWidth="1"/>
    <col min="20" max="20" width="9" style="117"/>
    <col min="21" max="21" width="9.23046875" style="117" bestFit="1" customWidth="1"/>
    <col min="22" max="16384" width="9" style="117"/>
  </cols>
  <sheetData>
    <row r="1" spans="2:19" ht="33" customHeight="1" x14ac:dyDescent="0.4">
      <c r="B1" s="119" t="s">
        <v>156</v>
      </c>
    </row>
    <row r="2" spans="2:19" ht="17" x14ac:dyDescent="0.4">
      <c r="B2" s="120" t="s">
        <v>220</v>
      </c>
      <c r="N2" s="248"/>
      <c r="O2" s="248"/>
    </row>
    <row r="3" spans="2:19" ht="16" thickBot="1" x14ac:dyDescent="0.4">
      <c r="B3" s="121"/>
      <c r="I3" s="249" t="s">
        <v>115</v>
      </c>
      <c r="N3" s="248"/>
      <c r="O3" s="248"/>
    </row>
    <row r="4" spans="2:19" ht="28.5" customHeight="1" x14ac:dyDescent="0.45">
      <c r="B4" s="122" t="s">
        <v>73</v>
      </c>
      <c r="C4" s="123" t="s">
        <v>74</v>
      </c>
      <c r="D4" s="123"/>
      <c r="E4" s="123" t="s">
        <v>75</v>
      </c>
      <c r="F4" s="124"/>
      <c r="G4" s="124"/>
      <c r="H4" s="124"/>
      <c r="I4" s="250"/>
      <c r="J4" s="444" t="s">
        <v>116</v>
      </c>
      <c r="K4" s="444"/>
      <c r="L4" s="444"/>
      <c r="M4" s="444"/>
      <c r="N4" s="251" t="s">
        <v>119</v>
      </c>
      <c r="O4" s="252" t="s">
        <v>9</v>
      </c>
      <c r="P4" s="251" t="s">
        <v>193</v>
      </c>
      <c r="Q4" s="251" t="s">
        <v>108</v>
      </c>
      <c r="R4" s="253" t="s">
        <v>109</v>
      </c>
    </row>
    <row r="5" spans="2:19" x14ac:dyDescent="0.3">
      <c r="B5" s="125" t="s">
        <v>221</v>
      </c>
      <c r="C5" s="254">
        <v>0.1</v>
      </c>
      <c r="D5" s="126"/>
      <c r="E5" s="255">
        <v>2000000</v>
      </c>
      <c r="F5" s="127"/>
      <c r="G5" s="127"/>
      <c r="H5" s="127"/>
      <c r="I5" s="256" t="s">
        <v>57</v>
      </c>
      <c r="J5" s="257" t="s">
        <v>110</v>
      </c>
      <c r="K5" s="258">
        <v>0</v>
      </c>
      <c r="L5" s="259" t="s">
        <v>111</v>
      </c>
      <c r="M5" s="260">
        <v>0.1</v>
      </c>
      <c r="N5" s="261">
        <f>$C$5</f>
        <v>0.1</v>
      </c>
      <c r="O5" s="262">
        <v>0</v>
      </c>
      <c r="P5" s="261">
        <f>SUM(N5:O5)</f>
        <v>0.1</v>
      </c>
      <c r="Q5" s="261">
        <f>1-P5</f>
        <v>0.9</v>
      </c>
      <c r="R5" s="263">
        <f>SUM(P5:Q5)</f>
        <v>1</v>
      </c>
    </row>
    <row r="6" spans="2:19" x14ac:dyDescent="0.3">
      <c r="B6" s="128" t="s">
        <v>76</v>
      </c>
      <c r="C6" s="264">
        <v>0.9</v>
      </c>
      <c r="D6" s="129"/>
      <c r="E6" s="265">
        <v>18000000</v>
      </c>
      <c r="F6" s="127"/>
      <c r="G6" s="127"/>
      <c r="H6" s="127"/>
      <c r="I6" s="256" t="s">
        <v>65</v>
      </c>
      <c r="J6" s="257" t="s">
        <v>112</v>
      </c>
      <c r="K6" s="258">
        <f>M5</f>
        <v>0.1</v>
      </c>
      <c r="L6" s="259" t="s">
        <v>111</v>
      </c>
      <c r="M6" s="260">
        <v>0.15</v>
      </c>
      <c r="N6" s="261">
        <f>$C$5</f>
        <v>0.1</v>
      </c>
      <c r="O6" s="262">
        <v>0.1</v>
      </c>
      <c r="P6" s="261">
        <f>SUM(N6:O6)</f>
        <v>0.2</v>
      </c>
      <c r="Q6" s="261">
        <f>1-P6</f>
        <v>0.8</v>
      </c>
      <c r="R6" s="263">
        <f>SUM(P6:Q6)</f>
        <v>1</v>
      </c>
    </row>
    <row r="7" spans="2:19" x14ac:dyDescent="0.3">
      <c r="B7" s="130" t="s">
        <v>77</v>
      </c>
      <c r="C7" s="131">
        <v>1</v>
      </c>
      <c r="D7" s="132"/>
      <c r="E7" s="133">
        <f>SUM(E5:E6)</f>
        <v>20000000</v>
      </c>
      <c r="F7" s="127"/>
      <c r="G7" s="127"/>
      <c r="H7" s="127"/>
      <c r="I7" s="256" t="s">
        <v>79</v>
      </c>
      <c r="J7" s="257" t="s">
        <v>112</v>
      </c>
      <c r="K7" s="258">
        <f>M6</f>
        <v>0.15</v>
      </c>
      <c r="L7" s="259" t="s">
        <v>111</v>
      </c>
      <c r="M7" s="260">
        <v>0.2</v>
      </c>
      <c r="N7" s="261">
        <f>$C$5</f>
        <v>0.1</v>
      </c>
      <c r="O7" s="262">
        <v>0.2</v>
      </c>
      <c r="P7" s="261">
        <f>SUM(N7:O7)</f>
        <v>0.30000000000000004</v>
      </c>
      <c r="Q7" s="261">
        <f>1-P7</f>
        <v>0.7</v>
      </c>
      <c r="R7" s="263">
        <f>SUM(P7:Q7)</f>
        <v>1</v>
      </c>
    </row>
    <row r="8" spans="2:19" x14ac:dyDescent="0.3">
      <c r="F8" s="127"/>
      <c r="G8" s="127"/>
      <c r="H8" s="127"/>
      <c r="I8" s="256" t="s">
        <v>113</v>
      </c>
      <c r="J8" s="257" t="s">
        <v>112</v>
      </c>
      <c r="K8" s="258">
        <f>M7</f>
        <v>0.2</v>
      </c>
      <c r="L8" s="259" t="s">
        <v>111</v>
      </c>
      <c r="M8" s="260">
        <v>0.25</v>
      </c>
      <c r="N8" s="261">
        <f>$C$5</f>
        <v>0.1</v>
      </c>
      <c r="O8" s="262">
        <v>0.3</v>
      </c>
      <c r="P8" s="261">
        <f>SUM(N8:O8)</f>
        <v>0.4</v>
      </c>
      <c r="Q8" s="261">
        <f>1-P8</f>
        <v>0.6</v>
      </c>
      <c r="R8" s="263">
        <f>SUM(P8:Q8)</f>
        <v>1</v>
      </c>
    </row>
    <row r="9" spans="2:19" ht="13.5" thickBot="1" x14ac:dyDescent="0.35">
      <c r="B9" s="117" t="s">
        <v>78</v>
      </c>
      <c r="F9" s="127"/>
      <c r="G9" s="127"/>
      <c r="H9" s="127"/>
      <c r="I9" s="266" t="s">
        <v>114</v>
      </c>
      <c r="J9" s="267"/>
      <c r="K9" s="267"/>
      <c r="L9" s="268" t="s">
        <v>112</v>
      </c>
      <c r="M9" s="269">
        <v>0.25</v>
      </c>
      <c r="N9" s="270">
        <f>$C$5</f>
        <v>0.1</v>
      </c>
      <c r="O9" s="271">
        <v>0.5</v>
      </c>
      <c r="P9" s="270">
        <f>SUM(N9:O9)</f>
        <v>0.6</v>
      </c>
      <c r="Q9" s="270">
        <f>1-P9</f>
        <v>0.4</v>
      </c>
      <c r="R9" s="272">
        <f>SUM(P9:Q9)</f>
        <v>1</v>
      </c>
    </row>
    <row r="10" spans="2:19" ht="127.5" customHeight="1" x14ac:dyDescent="0.3">
      <c r="B10" s="445" t="s">
        <v>222</v>
      </c>
      <c r="C10" s="445"/>
      <c r="D10" s="445"/>
      <c r="E10" s="397"/>
      <c r="F10" s="397"/>
      <c r="N10" s="248"/>
      <c r="O10" s="248"/>
    </row>
    <row r="11" spans="2:19" x14ac:dyDescent="0.3">
      <c r="E11" s="273" t="s">
        <v>67</v>
      </c>
      <c r="F11" s="134"/>
      <c r="G11" s="134"/>
      <c r="H11" s="134"/>
      <c r="I11" s="134"/>
      <c r="J11" s="134"/>
      <c r="K11" s="274"/>
      <c r="L11" s="274"/>
      <c r="M11" s="274"/>
      <c r="N11" s="274"/>
      <c r="O11" s="274"/>
      <c r="P11" s="274"/>
      <c r="Q11" s="274"/>
      <c r="R11" s="274"/>
      <c r="S11" s="274"/>
    </row>
    <row r="12" spans="2:19" x14ac:dyDescent="0.3">
      <c r="C12" s="135"/>
      <c r="D12" s="135"/>
      <c r="E12" s="135"/>
      <c r="F12" s="135"/>
      <c r="G12" s="135"/>
      <c r="H12" s="275">
        <v>40574</v>
      </c>
      <c r="I12" s="275">
        <f>EOMONTH(H12,1)</f>
        <v>40602</v>
      </c>
      <c r="J12" s="275">
        <f t="shared" ref="J12:S12" si="0">EOMONTH(I12,1)</f>
        <v>40633</v>
      </c>
      <c r="K12" s="275">
        <f t="shared" si="0"/>
        <v>40663</v>
      </c>
      <c r="L12" s="275">
        <f t="shared" si="0"/>
        <v>40694</v>
      </c>
      <c r="M12" s="275">
        <f t="shared" si="0"/>
        <v>40724</v>
      </c>
      <c r="N12" s="275">
        <f t="shared" si="0"/>
        <v>40755</v>
      </c>
      <c r="O12" s="275">
        <f t="shared" si="0"/>
        <v>40786</v>
      </c>
      <c r="P12" s="275">
        <f t="shared" si="0"/>
        <v>40816</v>
      </c>
      <c r="Q12" s="275">
        <f t="shared" si="0"/>
        <v>40847</v>
      </c>
      <c r="R12" s="275">
        <f t="shared" si="0"/>
        <v>40877</v>
      </c>
      <c r="S12" s="275">
        <f t="shared" si="0"/>
        <v>40908</v>
      </c>
    </row>
    <row r="13" spans="2:19" x14ac:dyDescent="0.3">
      <c r="B13" s="136"/>
      <c r="O13" s="248"/>
    </row>
    <row r="14" spans="2:19" x14ac:dyDescent="0.3">
      <c r="B14" s="117" t="s">
        <v>68</v>
      </c>
      <c r="E14" s="137">
        <f>SUM(H14:S14)</f>
        <v>-20000000</v>
      </c>
      <c r="F14" s="138"/>
      <c r="G14" s="138"/>
      <c r="H14" s="118">
        <f>IF(H16&lt;0,H16,0)</f>
        <v>-2000000</v>
      </c>
      <c r="I14" s="118">
        <f t="shared" ref="I14:S14" si="1">IF(I16&lt;0,I16,0)</f>
        <v>-2500000</v>
      </c>
      <c r="J14" s="118">
        <f t="shared" si="1"/>
        <v>-10000000</v>
      </c>
      <c r="K14" s="118">
        <v>-2000000</v>
      </c>
      <c r="L14" s="118">
        <v>-3000000</v>
      </c>
      <c r="M14" s="118">
        <v>-400000</v>
      </c>
      <c r="N14" s="118">
        <f t="shared" si="1"/>
        <v>-100000</v>
      </c>
      <c r="O14" s="118">
        <f t="shared" si="1"/>
        <v>0</v>
      </c>
      <c r="P14" s="118">
        <f t="shared" si="1"/>
        <v>0</v>
      </c>
      <c r="Q14" s="118">
        <f t="shared" si="1"/>
        <v>0</v>
      </c>
      <c r="R14" s="118">
        <f t="shared" si="1"/>
        <v>0</v>
      </c>
      <c r="S14" s="118">
        <f t="shared" si="1"/>
        <v>0</v>
      </c>
    </row>
    <row r="15" spans="2:19" x14ac:dyDescent="0.3">
      <c r="B15" s="117" t="s">
        <v>69</v>
      </c>
      <c r="E15" s="140">
        <f>SUM(H15:S15)</f>
        <v>40300000</v>
      </c>
      <c r="F15" s="141"/>
      <c r="G15" s="141"/>
      <c r="H15" s="142">
        <f t="shared" ref="H15:S15" si="2">IF(H16&gt;0,H16,0)</f>
        <v>0</v>
      </c>
      <c r="I15" s="142">
        <f t="shared" si="2"/>
        <v>0</v>
      </c>
      <c r="J15" s="142">
        <f t="shared" si="2"/>
        <v>0</v>
      </c>
      <c r="K15" s="142">
        <f t="shared" si="2"/>
        <v>0</v>
      </c>
      <c r="L15" s="142">
        <f t="shared" si="2"/>
        <v>0</v>
      </c>
      <c r="M15" s="142">
        <f t="shared" si="2"/>
        <v>0</v>
      </c>
      <c r="N15" s="142">
        <f t="shared" si="2"/>
        <v>0</v>
      </c>
      <c r="O15" s="142">
        <v>75000</v>
      </c>
      <c r="P15" s="142">
        <v>75000</v>
      </c>
      <c r="Q15" s="142">
        <v>75000</v>
      </c>
      <c r="R15" s="142">
        <v>75000</v>
      </c>
      <c r="S15" s="142">
        <f t="shared" si="2"/>
        <v>40000000</v>
      </c>
    </row>
    <row r="16" spans="2:19" x14ac:dyDescent="0.3">
      <c r="B16" s="130" t="s">
        <v>70</v>
      </c>
      <c r="C16" s="143"/>
      <c r="D16" s="143"/>
      <c r="E16" s="137">
        <f>SUM(H16:S16)</f>
        <v>20300000</v>
      </c>
      <c r="F16" s="137"/>
      <c r="G16" s="137"/>
      <c r="H16" s="144">
        <v>-2000000</v>
      </c>
      <c r="I16" s="144">
        <v>-2500000</v>
      </c>
      <c r="J16" s="144">
        <v>-10000000</v>
      </c>
      <c r="K16" s="144">
        <v>-2000000</v>
      </c>
      <c r="L16" s="144">
        <v>-3000000</v>
      </c>
      <c r="M16" s="144">
        <v>-400000</v>
      </c>
      <c r="N16" s="144">
        <v>-100000</v>
      </c>
      <c r="O16" s="144">
        <v>75000</v>
      </c>
      <c r="P16" s="144">
        <v>75000</v>
      </c>
      <c r="Q16" s="144">
        <v>75000</v>
      </c>
      <c r="R16" s="144">
        <v>75000</v>
      </c>
      <c r="S16" s="144">
        <v>40000000</v>
      </c>
    </row>
    <row r="17" spans="1:170" x14ac:dyDescent="0.3">
      <c r="B17" s="145"/>
      <c r="E17" s="138"/>
      <c r="F17" s="138"/>
      <c r="G17" s="138"/>
      <c r="H17" s="118"/>
      <c r="I17" s="118"/>
      <c r="J17" s="118"/>
      <c r="K17" s="118"/>
      <c r="L17" s="118"/>
      <c r="M17" s="118"/>
      <c r="N17" s="118"/>
      <c r="O17" s="118"/>
      <c r="P17" s="118"/>
      <c r="Q17" s="118"/>
      <c r="R17" s="118"/>
      <c r="S17" s="11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row>
    <row r="18" spans="1:170" x14ac:dyDescent="0.3">
      <c r="B18" s="146" t="s">
        <v>71</v>
      </c>
      <c r="E18" s="137">
        <f>SUM(H18:S18)</f>
        <v>-18000000</v>
      </c>
      <c r="F18" s="138"/>
      <c r="G18" s="138"/>
      <c r="H18" s="138">
        <v>0</v>
      </c>
      <c r="I18" s="138">
        <v>-2500000</v>
      </c>
      <c r="J18" s="138">
        <v>-10000000</v>
      </c>
      <c r="K18" s="138">
        <v>-2000000</v>
      </c>
      <c r="L18" s="138">
        <v>-3000000</v>
      </c>
      <c r="M18" s="138">
        <v>-400000</v>
      </c>
      <c r="N18" s="138">
        <v>-100000</v>
      </c>
      <c r="O18" s="138">
        <v>0</v>
      </c>
      <c r="P18" s="138">
        <v>0</v>
      </c>
      <c r="Q18" s="138">
        <v>0</v>
      </c>
      <c r="R18" s="138">
        <v>0</v>
      </c>
      <c r="S18" s="138">
        <v>0</v>
      </c>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188"/>
      <c r="DJ18" s="188"/>
      <c r="DK18" s="188"/>
      <c r="DL18" s="188"/>
      <c r="DM18" s="188"/>
      <c r="DN18" s="188"/>
      <c r="DO18" s="188"/>
      <c r="DP18" s="188"/>
      <c r="DQ18" s="188"/>
      <c r="DR18" s="188"/>
      <c r="DS18" s="188"/>
      <c r="DT18" s="188"/>
      <c r="DU18" s="188"/>
      <c r="DV18" s="188"/>
      <c r="DW18" s="188"/>
      <c r="DX18" s="188"/>
      <c r="DY18" s="188"/>
      <c r="DZ18" s="188"/>
      <c r="EA18" s="188"/>
      <c r="EB18" s="188"/>
      <c r="EC18" s="188"/>
      <c r="ED18" s="188"/>
      <c r="EE18" s="188"/>
      <c r="EF18" s="188"/>
      <c r="EG18" s="188"/>
      <c r="EH18" s="188"/>
      <c r="EI18" s="188"/>
      <c r="EJ18" s="188"/>
      <c r="EK18" s="188"/>
      <c r="EL18" s="188"/>
      <c r="EM18" s="188"/>
      <c r="EN18" s="188"/>
      <c r="EO18" s="188"/>
      <c r="EP18" s="188"/>
      <c r="EQ18" s="188"/>
      <c r="ER18" s="188"/>
      <c r="ES18" s="188"/>
      <c r="ET18" s="188"/>
      <c r="EU18" s="188"/>
      <c r="EV18" s="188"/>
      <c r="EW18" s="188"/>
      <c r="EX18" s="188"/>
      <c r="EY18" s="188"/>
      <c r="EZ18" s="188"/>
      <c r="FA18" s="188"/>
      <c r="FB18" s="188"/>
      <c r="FC18" s="188"/>
      <c r="FD18" s="188"/>
      <c r="FE18" s="188"/>
      <c r="FF18" s="188"/>
      <c r="FG18" s="188"/>
      <c r="FH18" s="188"/>
      <c r="FI18" s="188"/>
      <c r="FJ18" s="188"/>
      <c r="FK18" s="188"/>
      <c r="FL18" s="188"/>
      <c r="FM18" s="188"/>
      <c r="FN18" s="188"/>
    </row>
    <row r="19" spans="1:170" x14ac:dyDescent="0.3">
      <c r="B19" s="276"/>
      <c r="E19" s="138"/>
      <c r="F19" s="138"/>
      <c r="G19" s="138"/>
      <c r="H19" s="118"/>
      <c r="I19" s="118"/>
      <c r="J19" s="118"/>
      <c r="K19" s="118"/>
      <c r="L19" s="118"/>
      <c r="M19" s="118"/>
      <c r="N19" s="118"/>
      <c r="O19" s="118"/>
      <c r="P19" s="118"/>
      <c r="Q19" s="118"/>
      <c r="R19" s="118"/>
      <c r="S19" s="11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8"/>
      <c r="DI19" s="188"/>
      <c r="DJ19" s="188"/>
      <c r="DK19" s="188"/>
      <c r="DL19" s="188"/>
      <c r="DM19" s="188"/>
      <c r="DN19" s="188"/>
      <c r="DO19" s="188"/>
      <c r="DP19" s="188"/>
      <c r="DQ19" s="188"/>
      <c r="DR19" s="188"/>
      <c r="DS19" s="188"/>
      <c r="DT19" s="188"/>
      <c r="DU19" s="188"/>
      <c r="DV19" s="188"/>
      <c r="DW19" s="188"/>
      <c r="DX19" s="188"/>
      <c r="DY19" s="188"/>
      <c r="DZ19" s="188"/>
      <c r="EA19" s="188"/>
      <c r="EB19" s="188"/>
      <c r="EC19" s="188"/>
      <c r="ED19" s="188"/>
      <c r="EE19" s="188"/>
      <c r="EF19" s="188"/>
      <c r="EG19" s="188"/>
      <c r="EH19" s="188"/>
      <c r="EI19" s="188"/>
      <c r="EJ19" s="188"/>
      <c r="EK19" s="188"/>
      <c r="EL19" s="188"/>
      <c r="EM19" s="188"/>
      <c r="EN19" s="188"/>
      <c r="EO19" s="188"/>
      <c r="EP19" s="188"/>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188"/>
      <c r="FM19" s="188"/>
      <c r="FN19" s="188"/>
    </row>
    <row r="20" spans="1:170" x14ac:dyDescent="0.3">
      <c r="A20" s="357" t="s">
        <v>162</v>
      </c>
      <c r="B20" s="111" t="s">
        <v>57</v>
      </c>
      <c r="C20" s="148" t="s">
        <v>72</v>
      </c>
      <c r="D20" s="146">
        <f>M5</f>
        <v>0.1</v>
      </c>
      <c r="E20" s="149"/>
      <c r="F20" s="149"/>
      <c r="G20" s="149"/>
      <c r="H20" s="155"/>
      <c r="I20" s="155"/>
      <c r="J20" s="155"/>
      <c r="K20" s="155"/>
      <c r="L20" s="155"/>
      <c r="M20" s="155"/>
      <c r="N20" s="155"/>
      <c r="O20" s="155"/>
      <c r="P20" s="155"/>
      <c r="Q20" s="155"/>
      <c r="R20" s="155"/>
      <c r="S20" s="155"/>
    </row>
    <row r="21" spans="1:170" x14ac:dyDescent="0.3">
      <c r="A21" s="358" t="s">
        <v>163</v>
      </c>
      <c r="B21" s="113" t="s">
        <v>58</v>
      </c>
      <c r="C21" s="150"/>
      <c r="D21" s="150"/>
      <c r="E21" s="151"/>
      <c r="F21" s="151"/>
      <c r="G21" s="151"/>
      <c r="H21" s="152">
        <f>+G25</f>
        <v>0</v>
      </c>
      <c r="I21" s="152">
        <f>+H25</f>
        <v>0</v>
      </c>
      <c r="J21" s="152">
        <f>+I25</f>
        <v>2500000</v>
      </c>
      <c r="K21" s="152">
        <f>+J25</f>
        <v>12519935.351072259</v>
      </c>
      <c r="L21" s="152">
        <f>+K25</f>
        <v>14619771.073722506</v>
      </c>
      <c r="M21" s="152">
        <f t="shared" ref="M21:S21" si="3">+L25</f>
        <v>17736351.181302793</v>
      </c>
      <c r="N21" s="152">
        <f t="shared" si="3"/>
        <v>18277783.336318854</v>
      </c>
      <c r="O21" s="152">
        <f t="shared" si="3"/>
        <v>18523532.947371736</v>
      </c>
      <c r="P21" s="152">
        <f t="shared" si="3"/>
        <v>18603742.200333506</v>
      </c>
      <c r="Q21" s="152">
        <f t="shared" si="3"/>
        <v>18684591.053142089</v>
      </c>
      <c r="R21" s="152">
        <f t="shared" si="3"/>
        <v>18766084.606056482</v>
      </c>
      <c r="S21" s="212">
        <f t="shared" si="3"/>
        <v>18848228.000005864</v>
      </c>
    </row>
    <row r="22" spans="1:170" ht="13.5" x14ac:dyDescent="0.3">
      <c r="A22" s="112"/>
      <c r="B22" s="114" t="s">
        <v>59</v>
      </c>
      <c r="C22" s="153"/>
      <c r="D22" s="153"/>
      <c r="E22" s="154">
        <f>SUM(H22:S22)</f>
        <v>18000000</v>
      </c>
      <c r="F22" s="154"/>
      <c r="G22" s="154"/>
      <c r="H22" s="155">
        <f>-H18</f>
        <v>0</v>
      </c>
      <c r="I22" s="155">
        <f>-I18</f>
        <v>2500000</v>
      </c>
      <c r="J22" s="155">
        <f>-J18</f>
        <v>10000000</v>
      </c>
      <c r="K22" s="155">
        <f>-K18</f>
        <v>2000000</v>
      </c>
      <c r="L22" s="155">
        <f>-L18</f>
        <v>3000000</v>
      </c>
      <c r="M22" s="155">
        <f t="shared" ref="M22:S22" si="4">-M18</f>
        <v>400000</v>
      </c>
      <c r="N22" s="155">
        <f t="shared" si="4"/>
        <v>100000</v>
      </c>
      <c r="O22" s="155">
        <f t="shared" si="4"/>
        <v>0</v>
      </c>
      <c r="P22" s="155">
        <f t="shared" si="4"/>
        <v>0</v>
      </c>
      <c r="Q22" s="155">
        <f t="shared" si="4"/>
        <v>0</v>
      </c>
      <c r="R22" s="155">
        <f t="shared" si="4"/>
        <v>0</v>
      </c>
      <c r="S22" s="213">
        <f t="shared" si="4"/>
        <v>0</v>
      </c>
    </row>
    <row r="23" spans="1:170" ht="13.5" x14ac:dyDescent="0.3">
      <c r="A23" s="112"/>
      <c r="B23" s="114" t="s">
        <v>60</v>
      </c>
      <c r="C23" s="153"/>
      <c r="D23" s="153"/>
      <c r="E23" s="154">
        <f>SUM(H23:S23)</f>
        <v>1268526.4169139105</v>
      </c>
      <c r="F23" s="154"/>
      <c r="G23" s="154"/>
      <c r="H23" s="155">
        <f>+H21*((1+$D$20)^(1/12)-1)</f>
        <v>0</v>
      </c>
      <c r="I23" s="155">
        <f t="shared" ref="I23:S23" si="5">+I21*((1+$D$20)^(1/12)-1)</f>
        <v>0</v>
      </c>
      <c r="J23" s="155">
        <f t="shared" si="5"/>
        <v>19935.351072259411</v>
      </c>
      <c r="K23" s="155">
        <f t="shared" si="5"/>
        <v>99835.722650246753</v>
      </c>
      <c r="L23" s="155">
        <f t="shared" si="5"/>
        <v>116580.10758028843</v>
      </c>
      <c r="M23" s="155">
        <f t="shared" si="5"/>
        <v>141432.15501606165</v>
      </c>
      <c r="N23" s="155">
        <f t="shared" si="5"/>
        <v>145749.6110528837</v>
      </c>
      <c r="O23" s="155">
        <f t="shared" si="5"/>
        <v>147709.25296176787</v>
      </c>
      <c r="P23" s="155">
        <f t="shared" si="5"/>
        <v>148348.85280858248</v>
      </c>
      <c r="Q23" s="155">
        <f t="shared" si="5"/>
        <v>148993.55291439389</v>
      </c>
      <c r="R23" s="155">
        <f t="shared" si="5"/>
        <v>149643.39394938355</v>
      </c>
      <c r="S23" s="213">
        <f t="shared" si="5"/>
        <v>150298.41690804271</v>
      </c>
    </row>
    <row r="24" spans="1:170" ht="13.5" x14ac:dyDescent="0.3">
      <c r="A24" s="112"/>
      <c r="B24" s="114" t="s">
        <v>61</v>
      </c>
      <c r="C24" s="153"/>
      <c r="D24" s="153"/>
      <c r="E24" s="140">
        <f>SUM(H24:S24)</f>
        <v>-19268526.416913908</v>
      </c>
      <c r="F24" s="140"/>
      <c r="G24" s="140"/>
      <c r="H24" s="142">
        <f t="shared" ref="H24:S24" si="6">MIN(0,MAX(-(H21+H22+H23),-$C$27*H16))</f>
        <v>0</v>
      </c>
      <c r="I24" s="142">
        <f>MIN(0,MAX(-(I21+I22+I23),-$C$27*I16))</f>
        <v>0</v>
      </c>
      <c r="J24" s="142">
        <f>MIN(0,MAX(-(J21+J22+J23),-$C$27*J16))</f>
        <v>0</v>
      </c>
      <c r="K24" s="142">
        <f t="shared" si="6"/>
        <v>0</v>
      </c>
      <c r="L24" s="142">
        <f t="shared" si="6"/>
        <v>0</v>
      </c>
      <c r="M24" s="142">
        <f t="shared" si="6"/>
        <v>0</v>
      </c>
      <c r="N24" s="142">
        <f t="shared" si="6"/>
        <v>0</v>
      </c>
      <c r="O24" s="142">
        <f t="shared" si="6"/>
        <v>-67500</v>
      </c>
      <c r="P24" s="142">
        <f t="shared" si="6"/>
        <v>-67500</v>
      </c>
      <c r="Q24" s="142">
        <f t="shared" si="6"/>
        <v>-67500</v>
      </c>
      <c r="R24" s="142">
        <f t="shared" si="6"/>
        <v>-67500</v>
      </c>
      <c r="S24" s="216">
        <f t="shared" si="6"/>
        <v>-18998526.416913908</v>
      </c>
    </row>
    <row r="25" spans="1:170" ht="13.5" x14ac:dyDescent="0.3">
      <c r="A25" s="112"/>
      <c r="B25" s="114" t="s">
        <v>62</v>
      </c>
      <c r="C25" s="153"/>
      <c r="D25" s="153"/>
      <c r="E25" s="154">
        <f>SUM(E22:E24)</f>
        <v>0</v>
      </c>
      <c r="F25" s="154"/>
      <c r="G25" s="277"/>
      <c r="H25" s="155">
        <f t="shared" ref="H25:S25" si="7">SUM(H21:H24)</f>
        <v>0</v>
      </c>
      <c r="I25" s="155">
        <f t="shared" si="7"/>
        <v>2500000</v>
      </c>
      <c r="J25" s="155">
        <f t="shared" si="7"/>
        <v>12519935.351072259</v>
      </c>
      <c r="K25" s="155">
        <f t="shared" si="7"/>
        <v>14619771.073722506</v>
      </c>
      <c r="L25" s="155">
        <f t="shared" si="7"/>
        <v>17736351.181302793</v>
      </c>
      <c r="M25" s="155">
        <f t="shared" si="7"/>
        <v>18277783.336318854</v>
      </c>
      <c r="N25" s="155">
        <f t="shared" si="7"/>
        <v>18523532.947371736</v>
      </c>
      <c r="O25" s="155">
        <f t="shared" si="7"/>
        <v>18603742.200333506</v>
      </c>
      <c r="P25" s="155">
        <f t="shared" si="7"/>
        <v>18684591.053142089</v>
      </c>
      <c r="Q25" s="155">
        <f t="shared" si="7"/>
        <v>18766084.606056482</v>
      </c>
      <c r="R25" s="155">
        <f t="shared" si="7"/>
        <v>18848228.000005864</v>
      </c>
      <c r="S25" s="213">
        <f t="shared" si="7"/>
        <v>0</v>
      </c>
    </row>
    <row r="26" spans="1:170" ht="13.5" x14ac:dyDescent="0.3">
      <c r="A26" s="112"/>
      <c r="B26" s="114"/>
      <c r="C26" s="153"/>
      <c r="D26" s="153"/>
      <c r="E26" s="157"/>
      <c r="F26" s="157"/>
      <c r="G26" s="157"/>
      <c r="H26" s="155"/>
      <c r="I26" s="155"/>
      <c r="J26" s="155"/>
      <c r="K26" s="155"/>
      <c r="L26" s="155"/>
      <c r="M26" s="155"/>
      <c r="N26" s="155"/>
      <c r="O26" s="155"/>
      <c r="P26" s="155"/>
      <c r="Q26" s="155"/>
      <c r="R26" s="155"/>
      <c r="S26" s="213"/>
    </row>
    <row r="27" spans="1:170" ht="13.5" x14ac:dyDescent="0.3">
      <c r="A27" s="112"/>
      <c r="B27" s="115" t="s">
        <v>63</v>
      </c>
      <c r="C27" s="158">
        <f>Q5</f>
        <v>0.9</v>
      </c>
      <c r="D27" s="158"/>
      <c r="E27" s="154">
        <f>+SUM(H27:S27)</f>
        <v>1268526.416913908</v>
      </c>
      <c r="F27" s="154"/>
      <c r="G27" s="154"/>
      <c r="H27" s="159">
        <f t="shared" ref="H27:S27" si="8">+MIN(-(H22+H24),H21+H23)</f>
        <v>0</v>
      </c>
      <c r="I27" s="159">
        <f t="shared" si="8"/>
        <v>-2500000</v>
      </c>
      <c r="J27" s="159">
        <f t="shared" si="8"/>
        <v>-10000000</v>
      </c>
      <c r="K27" s="159">
        <f t="shared" si="8"/>
        <v>-2000000</v>
      </c>
      <c r="L27" s="159">
        <f t="shared" si="8"/>
        <v>-3000000</v>
      </c>
      <c r="M27" s="159">
        <f t="shared" si="8"/>
        <v>-400000</v>
      </c>
      <c r="N27" s="159">
        <f t="shared" si="8"/>
        <v>-100000</v>
      </c>
      <c r="O27" s="159">
        <f t="shared" si="8"/>
        <v>67500</v>
      </c>
      <c r="P27" s="159">
        <f t="shared" si="8"/>
        <v>67500</v>
      </c>
      <c r="Q27" s="159">
        <f t="shared" si="8"/>
        <v>67500</v>
      </c>
      <c r="R27" s="159">
        <f t="shared" si="8"/>
        <v>67500</v>
      </c>
      <c r="S27" s="214">
        <f t="shared" si="8"/>
        <v>18998526.416913908</v>
      </c>
    </row>
    <row r="28" spans="1:170" ht="13.5" x14ac:dyDescent="0.3">
      <c r="A28" s="112"/>
      <c r="B28" s="115" t="s">
        <v>125</v>
      </c>
      <c r="C28" s="160">
        <f>N5</f>
        <v>0.1</v>
      </c>
      <c r="D28" s="160"/>
      <c r="E28" s="154">
        <f>+SUM(H28:S28)</f>
        <v>2140947.3796571009</v>
      </c>
      <c r="F28" s="161"/>
      <c r="G28" s="161"/>
      <c r="H28" s="159">
        <f>-H24/$C$27*$C$28</f>
        <v>0</v>
      </c>
      <c r="I28" s="159">
        <f>-I24/$C$27*$C$28</f>
        <v>0</v>
      </c>
      <c r="J28" s="159">
        <f>-J24/$C$27*$C$28</f>
        <v>0</v>
      </c>
      <c r="K28" s="159">
        <f>-K24/$C$27*$C$28</f>
        <v>0</v>
      </c>
      <c r="L28" s="159">
        <f>-L24/$C$27*$C$28</f>
        <v>0</v>
      </c>
      <c r="M28" s="159">
        <f t="shared" ref="M28:S28" si="9">-M24/$C$27*$C$28</f>
        <v>0</v>
      </c>
      <c r="N28" s="159">
        <f t="shared" si="9"/>
        <v>0</v>
      </c>
      <c r="O28" s="159">
        <f t="shared" si="9"/>
        <v>7500</v>
      </c>
      <c r="P28" s="159">
        <f t="shared" si="9"/>
        <v>7500</v>
      </c>
      <c r="Q28" s="159">
        <f t="shared" si="9"/>
        <v>7500</v>
      </c>
      <c r="R28" s="159">
        <f t="shared" si="9"/>
        <v>7500</v>
      </c>
      <c r="S28" s="214">
        <f t="shared" si="9"/>
        <v>2110947.3796571009</v>
      </c>
    </row>
    <row r="29" spans="1:170" ht="13.5" x14ac:dyDescent="0.3">
      <c r="A29" s="112"/>
      <c r="B29" s="115" t="s">
        <v>126</v>
      </c>
      <c r="C29" s="158">
        <f>O5</f>
        <v>0</v>
      </c>
      <c r="D29" s="158"/>
      <c r="E29" s="154">
        <f>+SUM(H29:S29)</f>
        <v>0</v>
      </c>
      <c r="F29" s="161"/>
      <c r="G29" s="161"/>
      <c r="H29" s="159">
        <f>-H24/$C$27*$C$29</f>
        <v>0</v>
      </c>
      <c r="I29" s="159">
        <f>-I24/$C$27*$C$29</f>
        <v>0</v>
      </c>
      <c r="J29" s="159">
        <f>-J24/$C$27*$C$29</f>
        <v>0</v>
      </c>
      <c r="K29" s="159">
        <f>-K24/$C$27*$C$29</f>
        <v>0</v>
      </c>
      <c r="L29" s="159">
        <f>-L24/$C$27*$C$29</f>
        <v>0</v>
      </c>
      <c r="M29" s="159">
        <f t="shared" ref="M29:S29" si="10">-M24/$C$27*$C$29</f>
        <v>0</v>
      </c>
      <c r="N29" s="159">
        <f t="shared" si="10"/>
        <v>0</v>
      </c>
      <c r="O29" s="159">
        <f t="shared" si="10"/>
        <v>0</v>
      </c>
      <c r="P29" s="159">
        <f t="shared" si="10"/>
        <v>0</v>
      </c>
      <c r="Q29" s="159">
        <f t="shared" si="10"/>
        <v>0</v>
      </c>
      <c r="R29" s="159">
        <f t="shared" si="10"/>
        <v>0</v>
      </c>
      <c r="S29" s="214">
        <f t="shared" si="10"/>
        <v>0</v>
      </c>
    </row>
    <row r="30" spans="1:170" ht="13.5" x14ac:dyDescent="0.3">
      <c r="A30" s="112"/>
      <c r="B30" s="115"/>
      <c r="C30" s="158"/>
      <c r="D30" s="158"/>
      <c r="E30" s="154"/>
      <c r="F30" s="161"/>
      <c r="G30" s="161"/>
      <c r="H30" s="159"/>
      <c r="I30" s="159"/>
      <c r="J30" s="159"/>
      <c r="K30" s="159"/>
      <c r="L30" s="159"/>
      <c r="M30" s="159"/>
      <c r="N30" s="159"/>
      <c r="O30" s="159"/>
      <c r="P30" s="159"/>
      <c r="Q30" s="159"/>
      <c r="R30" s="159"/>
      <c r="S30" s="214"/>
    </row>
    <row r="31" spans="1:170" ht="13.5" x14ac:dyDescent="0.3">
      <c r="A31" s="112"/>
      <c r="B31" s="116" t="s">
        <v>64</v>
      </c>
      <c r="C31" s="163"/>
      <c r="D31" s="163"/>
      <c r="E31" s="140">
        <f>+SUM(H31:S31)</f>
        <v>18890526.203428991</v>
      </c>
      <c r="F31" s="140"/>
      <c r="G31" s="140"/>
      <c r="H31" s="164">
        <f t="shared" ref="H31:S31" si="11">IF(H27&lt;0,0,H15-SUM(H27:H29))</f>
        <v>0</v>
      </c>
      <c r="I31" s="164">
        <f t="shared" si="11"/>
        <v>0</v>
      </c>
      <c r="J31" s="164">
        <f t="shared" si="11"/>
        <v>0</v>
      </c>
      <c r="K31" s="164">
        <f t="shared" si="11"/>
        <v>0</v>
      </c>
      <c r="L31" s="164">
        <f t="shared" si="11"/>
        <v>0</v>
      </c>
      <c r="M31" s="164">
        <f t="shared" si="11"/>
        <v>0</v>
      </c>
      <c r="N31" s="164">
        <f t="shared" si="11"/>
        <v>0</v>
      </c>
      <c r="O31" s="164">
        <f t="shared" si="11"/>
        <v>0</v>
      </c>
      <c r="P31" s="164">
        <f t="shared" si="11"/>
        <v>0</v>
      </c>
      <c r="Q31" s="164">
        <f t="shared" si="11"/>
        <v>0</v>
      </c>
      <c r="R31" s="164">
        <f t="shared" si="11"/>
        <v>0</v>
      </c>
      <c r="S31" s="215">
        <f t="shared" si="11"/>
        <v>18890526.203428991</v>
      </c>
    </row>
    <row r="32" spans="1:170" ht="13.5" x14ac:dyDescent="0.3">
      <c r="A32" s="112"/>
      <c r="C32" s="135"/>
      <c r="D32" s="135"/>
      <c r="E32" s="138"/>
      <c r="F32" s="138"/>
      <c r="G32" s="138"/>
      <c r="H32" s="118"/>
      <c r="I32" s="118"/>
      <c r="J32" s="118"/>
      <c r="K32" s="118"/>
      <c r="L32" s="118"/>
      <c r="M32" s="118"/>
      <c r="N32" s="118"/>
      <c r="O32" s="118"/>
      <c r="P32" s="118"/>
      <c r="Q32" s="118"/>
      <c r="R32" s="118"/>
      <c r="S32" s="118"/>
    </row>
    <row r="33" spans="1:19" x14ac:dyDescent="0.3">
      <c r="A33" s="359" t="s">
        <v>164</v>
      </c>
      <c r="B33" s="111" t="s">
        <v>65</v>
      </c>
      <c r="C33" s="148" t="s">
        <v>72</v>
      </c>
      <c r="D33" s="146">
        <f>M6</f>
        <v>0.15</v>
      </c>
      <c r="E33" s="149"/>
      <c r="F33" s="149"/>
      <c r="G33" s="149"/>
      <c r="H33" s="118"/>
      <c r="I33" s="118"/>
      <c r="J33" s="118"/>
      <c r="K33" s="118"/>
      <c r="L33" s="118"/>
      <c r="M33" s="118"/>
      <c r="N33" s="118"/>
      <c r="O33" s="118"/>
      <c r="P33" s="118"/>
      <c r="Q33" s="118"/>
      <c r="R33" s="118"/>
      <c r="S33" s="118"/>
    </row>
    <row r="34" spans="1:19" ht="13.5" x14ac:dyDescent="0.3">
      <c r="A34" s="112"/>
      <c r="B34" s="113" t="s">
        <v>58</v>
      </c>
      <c r="C34" s="150"/>
      <c r="D34" s="150"/>
      <c r="E34" s="151"/>
      <c r="F34" s="151"/>
      <c r="G34" s="151"/>
      <c r="H34" s="152">
        <f>+G39</f>
        <v>0</v>
      </c>
      <c r="I34" s="152">
        <f>+H39</f>
        <v>0</v>
      </c>
      <c r="J34" s="152">
        <f>+I39</f>
        <v>2500000</v>
      </c>
      <c r="K34" s="152">
        <f>+J39</f>
        <v>12529287.292299634</v>
      </c>
      <c r="L34" s="152">
        <f>+K39</f>
        <v>14676066.851993898</v>
      </c>
      <c r="M34" s="152">
        <f t="shared" ref="M34:S34" si="12">+L39</f>
        <v>17847995.755875219</v>
      </c>
      <c r="N34" s="152">
        <f>+M39</f>
        <v>18457083.543341193</v>
      </c>
      <c r="O34" s="152">
        <f t="shared" si="12"/>
        <v>18773306.743634228</v>
      </c>
      <c r="P34" s="152">
        <f t="shared" si="12"/>
        <v>18925734.472446825</v>
      </c>
      <c r="Q34" s="152">
        <f t="shared" si="12"/>
        <v>19079947.879438747</v>
      </c>
      <c r="R34" s="152">
        <f t="shared" si="12"/>
        <v>19235967.883681506</v>
      </c>
      <c r="S34" s="212">
        <f t="shared" si="12"/>
        <v>19393815.649311803</v>
      </c>
    </row>
    <row r="35" spans="1:19" ht="13.5" x14ac:dyDescent="0.3">
      <c r="A35" s="112"/>
      <c r="B35" s="114" t="s">
        <v>59</v>
      </c>
      <c r="C35" s="153"/>
      <c r="D35" s="153"/>
      <c r="E35" s="154">
        <f>SUM(H35:S35)</f>
        <v>18000000</v>
      </c>
      <c r="F35" s="154"/>
      <c r="G35" s="154"/>
      <c r="H35" s="155">
        <f>+H22</f>
        <v>0</v>
      </c>
      <c r="I35" s="155">
        <f t="shared" ref="I35:S35" si="13">+I22</f>
        <v>2500000</v>
      </c>
      <c r="J35" s="155">
        <f t="shared" si="13"/>
        <v>10000000</v>
      </c>
      <c r="K35" s="155">
        <f t="shared" si="13"/>
        <v>2000000</v>
      </c>
      <c r="L35" s="155">
        <f t="shared" si="13"/>
        <v>3000000</v>
      </c>
      <c r="M35" s="155">
        <f t="shared" si="13"/>
        <v>400000</v>
      </c>
      <c r="N35" s="155">
        <f t="shared" si="13"/>
        <v>100000</v>
      </c>
      <c r="O35" s="155">
        <f t="shared" si="13"/>
        <v>0</v>
      </c>
      <c r="P35" s="155">
        <f t="shared" si="13"/>
        <v>0</v>
      </c>
      <c r="Q35" s="155">
        <f t="shared" si="13"/>
        <v>0</v>
      </c>
      <c r="R35" s="155">
        <f t="shared" si="13"/>
        <v>0</v>
      </c>
      <c r="S35" s="213">
        <f t="shared" si="13"/>
        <v>0</v>
      </c>
    </row>
    <row r="36" spans="1:19" ht="13.5" x14ac:dyDescent="0.3">
      <c r="A36" s="112"/>
      <c r="B36" s="114" t="s">
        <v>60</v>
      </c>
      <c r="C36" s="153"/>
      <c r="D36" s="153"/>
      <c r="E36" s="154">
        <f>SUM(H36:S36)</f>
        <v>1891012.5884024422</v>
      </c>
      <c r="F36" s="154"/>
      <c r="G36" s="154"/>
      <c r="H36" s="155">
        <f t="shared" ref="H36:S36" si="14">+H34*((1+$D$33)^(1/12)-1)</f>
        <v>0</v>
      </c>
      <c r="I36" s="155">
        <f t="shared" si="14"/>
        <v>0</v>
      </c>
      <c r="J36" s="155">
        <f t="shared" si="14"/>
        <v>29287.292299633449</v>
      </c>
      <c r="K36" s="155">
        <f t="shared" si="14"/>
        <v>146779.55969426493</v>
      </c>
      <c r="L36" s="155">
        <f t="shared" si="14"/>
        <v>171928.90388132265</v>
      </c>
      <c r="M36" s="155">
        <f t="shared" si="14"/>
        <v>209087.7874659739</v>
      </c>
      <c r="N36" s="155">
        <f t="shared" si="14"/>
        <v>216223.20029303513</v>
      </c>
      <c r="O36" s="155">
        <f t="shared" si="14"/>
        <v>219927.72881259816</v>
      </c>
      <c r="P36" s="155">
        <f t="shared" si="14"/>
        <v>221713.40699191971</v>
      </c>
      <c r="Q36" s="155">
        <f t="shared" si="14"/>
        <v>223520.0042427576</v>
      </c>
      <c r="R36" s="155">
        <f t="shared" si="14"/>
        <v>225347.76563029669</v>
      </c>
      <c r="S36" s="213">
        <f t="shared" si="14"/>
        <v>227196.93909064011</v>
      </c>
    </row>
    <row r="37" spans="1:19" ht="13.5" x14ac:dyDescent="0.3">
      <c r="A37" s="112"/>
      <c r="B37" s="114" t="s">
        <v>61</v>
      </c>
      <c r="C37" s="153"/>
      <c r="D37" s="153"/>
      <c r="E37" s="154">
        <f>SUM(H37:S37)</f>
        <v>-19268526.416913908</v>
      </c>
      <c r="F37" s="154"/>
      <c r="G37" s="154"/>
      <c r="H37" s="155">
        <f t="shared" ref="H37:S37" si="15">+H$24</f>
        <v>0</v>
      </c>
      <c r="I37" s="155">
        <f t="shared" si="15"/>
        <v>0</v>
      </c>
      <c r="J37" s="155">
        <f t="shared" si="15"/>
        <v>0</v>
      </c>
      <c r="K37" s="155">
        <f t="shared" si="15"/>
        <v>0</v>
      </c>
      <c r="L37" s="155">
        <f t="shared" si="15"/>
        <v>0</v>
      </c>
      <c r="M37" s="155">
        <f t="shared" si="15"/>
        <v>0</v>
      </c>
      <c r="N37" s="155">
        <f t="shared" si="15"/>
        <v>0</v>
      </c>
      <c r="O37" s="155">
        <f t="shared" si="15"/>
        <v>-67500</v>
      </c>
      <c r="P37" s="155">
        <f t="shared" si="15"/>
        <v>-67500</v>
      </c>
      <c r="Q37" s="155">
        <f t="shared" si="15"/>
        <v>-67500</v>
      </c>
      <c r="R37" s="155">
        <f t="shared" si="15"/>
        <v>-67500</v>
      </c>
      <c r="S37" s="213">
        <f t="shared" si="15"/>
        <v>-18998526.416913908</v>
      </c>
    </row>
    <row r="38" spans="1:19" ht="13.5" x14ac:dyDescent="0.3">
      <c r="A38" s="112"/>
      <c r="B38" s="114" t="s">
        <v>66</v>
      </c>
      <c r="C38" s="153"/>
      <c r="D38" s="153"/>
      <c r="E38" s="140">
        <f>SUM(H38:S38)</f>
        <v>-622486.17148853466</v>
      </c>
      <c r="F38" s="140"/>
      <c r="G38" s="140"/>
      <c r="H38" s="142">
        <f>MIN(0,MAX(-(H34+H36+H37),-$C$41*H31))</f>
        <v>0</v>
      </c>
      <c r="I38" s="142">
        <f>MIN(0,MAX(-(I34+I36+I37),-$C$41*I31))</f>
        <v>0</v>
      </c>
      <c r="J38" s="142">
        <f>MIN(0,MAX(-(J34+J36+J37),-$C$41*J31))</f>
        <v>0</v>
      </c>
      <c r="K38" s="142">
        <f>MIN(0,MAX(-(K34+K36+K37),-$C$41*K31))</f>
        <v>0</v>
      </c>
      <c r="L38" s="142">
        <f>MIN(0,MAX(-(L34+L36+L37),-$C$41*L31))</f>
        <v>0</v>
      </c>
      <c r="M38" s="142">
        <f t="shared" ref="M38:S38" si="16">MIN(0,MAX(-(M34+M36+M37),-$C$41*M31))</f>
        <v>0</v>
      </c>
      <c r="N38" s="142">
        <f t="shared" si="16"/>
        <v>0</v>
      </c>
      <c r="O38" s="142">
        <f t="shared" si="16"/>
        <v>0</v>
      </c>
      <c r="P38" s="142">
        <f t="shared" si="16"/>
        <v>0</v>
      </c>
      <c r="Q38" s="142">
        <f t="shared" si="16"/>
        <v>0</v>
      </c>
      <c r="R38" s="142">
        <f t="shared" si="16"/>
        <v>0</v>
      </c>
      <c r="S38" s="216">
        <f t="shared" si="16"/>
        <v>-622486.17148853466</v>
      </c>
    </row>
    <row r="39" spans="1:19" ht="13.5" x14ac:dyDescent="0.3">
      <c r="A39" s="112"/>
      <c r="B39" s="114" t="s">
        <v>62</v>
      </c>
      <c r="C39" s="153"/>
      <c r="D39" s="153"/>
      <c r="E39" s="154">
        <f>SUM(E35:E38)</f>
        <v>0</v>
      </c>
      <c r="F39" s="154"/>
      <c r="G39" s="277"/>
      <c r="H39" s="155">
        <f>SUM(H34:H38)</f>
        <v>0</v>
      </c>
      <c r="I39" s="155">
        <f>SUM(I34:I38)</f>
        <v>2500000</v>
      </c>
      <c r="J39" s="155">
        <f>SUM(J34:J38)</f>
        <v>12529287.292299634</v>
      </c>
      <c r="K39" s="155">
        <f>SUM(K34:K38)</f>
        <v>14676066.851993898</v>
      </c>
      <c r="L39" s="155">
        <f>SUM(L34:L38)</f>
        <v>17847995.755875219</v>
      </c>
      <c r="M39" s="155">
        <f t="shared" ref="M39:S39" si="17">SUM(M34:M38)</f>
        <v>18457083.543341193</v>
      </c>
      <c r="N39" s="155">
        <f t="shared" si="17"/>
        <v>18773306.743634228</v>
      </c>
      <c r="O39" s="155">
        <f t="shared" si="17"/>
        <v>18925734.472446825</v>
      </c>
      <c r="P39" s="155">
        <f t="shared" si="17"/>
        <v>19079947.879438747</v>
      </c>
      <c r="Q39" s="155">
        <f t="shared" si="17"/>
        <v>19235967.883681506</v>
      </c>
      <c r="R39" s="155">
        <f t="shared" si="17"/>
        <v>19393815.649311803</v>
      </c>
      <c r="S39" s="213">
        <f t="shared" si="17"/>
        <v>0</v>
      </c>
    </row>
    <row r="40" spans="1:19" ht="13.5" x14ac:dyDescent="0.3">
      <c r="A40" s="112"/>
      <c r="B40" s="114"/>
      <c r="C40" s="153"/>
      <c r="D40" s="153"/>
      <c r="E40" s="157"/>
      <c r="F40" s="157"/>
      <c r="G40" s="157"/>
      <c r="H40" s="155"/>
      <c r="I40" s="155"/>
      <c r="J40" s="155"/>
      <c r="K40" s="155"/>
      <c r="L40" s="155"/>
      <c r="M40" s="155"/>
      <c r="N40" s="155"/>
      <c r="O40" s="155"/>
      <c r="P40" s="155"/>
      <c r="Q40" s="155"/>
      <c r="R40" s="155"/>
      <c r="S40" s="213"/>
    </row>
    <row r="41" spans="1:19" ht="13.5" x14ac:dyDescent="0.3">
      <c r="A41" s="112"/>
      <c r="B41" s="115" t="s">
        <v>63</v>
      </c>
      <c r="C41" s="158">
        <f>Q6</f>
        <v>0.8</v>
      </c>
      <c r="D41" s="158"/>
      <c r="E41" s="154">
        <f>SUM(H41:S41)</f>
        <v>622486.17148853466</v>
      </c>
      <c r="F41" s="154"/>
      <c r="G41" s="154"/>
      <c r="H41" s="159">
        <f>MAX(0,MIN(-(H35+H38),H34+H36))</f>
        <v>0</v>
      </c>
      <c r="I41" s="159">
        <f>MAX(0,MIN(-(I35+I38),I34+I36))</f>
        <v>0</v>
      </c>
      <c r="J41" s="159">
        <f>MAX(0,MIN(-(J35+J38),J34+J36))</f>
        <v>0</v>
      </c>
      <c r="K41" s="159">
        <f>MAX(0,MIN(-(K35+K38),K34+K36))</f>
        <v>0</v>
      </c>
      <c r="L41" s="159">
        <f>MAX(0,MIN(-(L35+L38),L34+L36))</f>
        <v>0</v>
      </c>
      <c r="M41" s="159">
        <f t="shared" ref="M41:S41" si="18">MAX(0,MIN(-(M35+M38),M34+M36))</f>
        <v>0</v>
      </c>
      <c r="N41" s="159">
        <f t="shared" si="18"/>
        <v>0</v>
      </c>
      <c r="O41" s="159">
        <f t="shared" si="18"/>
        <v>0</v>
      </c>
      <c r="P41" s="159">
        <f t="shared" si="18"/>
        <v>0</v>
      </c>
      <c r="Q41" s="159">
        <f t="shared" si="18"/>
        <v>0</v>
      </c>
      <c r="R41" s="159">
        <f t="shared" si="18"/>
        <v>0</v>
      </c>
      <c r="S41" s="214">
        <f t="shared" si="18"/>
        <v>622486.17148853466</v>
      </c>
    </row>
    <row r="42" spans="1:19" ht="13.5" x14ac:dyDescent="0.3">
      <c r="A42" s="112"/>
      <c r="B42" s="115" t="s">
        <v>125</v>
      </c>
      <c r="C42" s="158">
        <f>+N6</f>
        <v>0.1</v>
      </c>
      <c r="D42" s="158"/>
      <c r="E42" s="154">
        <f>SUM(H42:S42)</f>
        <v>77810.771436066832</v>
      </c>
      <c r="F42" s="154"/>
      <c r="G42" s="154"/>
      <c r="H42" s="159">
        <f>-H38/$C$41*$C$42</f>
        <v>0</v>
      </c>
      <c r="I42" s="159">
        <f>-I38/$C$41*$C$42</f>
        <v>0</v>
      </c>
      <c r="J42" s="159">
        <f>-J38/$C$41*$C$42</f>
        <v>0</v>
      </c>
      <c r="K42" s="159">
        <f>-K38/$C$41*$C$42</f>
        <v>0</v>
      </c>
      <c r="L42" s="159">
        <f>-L38/$C$41*$C$42</f>
        <v>0</v>
      </c>
      <c r="M42" s="159">
        <f t="shared" ref="M42:S42" si="19">-M38/$C$41*$C$42</f>
        <v>0</v>
      </c>
      <c r="N42" s="159">
        <f t="shared" si="19"/>
        <v>0</v>
      </c>
      <c r="O42" s="159">
        <f t="shared" si="19"/>
        <v>0</v>
      </c>
      <c r="P42" s="159">
        <f t="shared" si="19"/>
        <v>0</v>
      </c>
      <c r="Q42" s="159">
        <f t="shared" si="19"/>
        <v>0</v>
      </c>
      <c r="R42" s="159">
        <f>-R38/$C$41*$C$42</f>
        <v>0</v>
      </c>
      <c r="S42" s="214">
        <f t="shared" si="19"/>
        <v>77810.771436066832</v>
      </c>
    </row>
    <row r="43" spans="1:19" ht="13.5" x14ac:dyDescent="0.3">
      <c r="A43" s="112"/>
      <c r="B43" s="115" t="s">
        <v>126</v>
      </c>
      <c r="C43" s="158">
        <f>O6</f>
        <v>0.1</v>
      </c>
      <c r="D43" s="158"/>
      <c r="E43" s="154">
        <f>+SUM(H43:S43)</f>
        <v>77810.771436066832</v>
      </c>
      <c r="F43" s="161"/>
      <c r="G43" s="161"/>
      <c r="H43" s="159">
        <f>-H38/$C$41*$C$43</f>
        <v>0</v>
      </c>
      <c r="I43" s="159">
        <f>-I38/$C$41*$C$43</f>
        <v>0</v>
      </c>
      <c r="J43" s="159">
        <f>-J38/$C$41*$C$43</f>
        <v>0</v>
      </c>
      <c r="K43" s="159">
        <f>-K38/$C$41*$C$43</f>
        <v>0</v>
      </c>
      <c r="L43" s="159">
        <f>-L38/$C$41*$C$43</f>
        <v>0</v>
      </c>
      <c r="M43" s="159">
        <f t="shared" ref="M43:S43" si="20">-M38/$C$41*$C$43</f>
        <v>0</v>
      </c>
      <c r="N43" s="159">
        <f t="shared" si="20"/>
        <v>0</v>
      </c>
      <c r="O43" s="159">
        <f t="shared" si="20"/>
        <v>0</v>
      </c>
      <c r="P43" s="159">
        <f t="shared" si="20"/>
        <v>0</v>
      </c>
      <c r="Q43" s="159">
        <f t="shared" si="20"/>
        <v>0</v>
      </c>
      <c r="R43" s="159">
        <f t="shared" si="20"/>
        <v>0</v>
      </c>
      <c r="S43" s="214">
        <f t="shared" si="20"/>
        <v>77810.771436066832</v>
      </c>
    </row>
    <row r="44" spans="1:19" ht="13.5" x14ac:dyDescent="0.3">
      <c r="A44" s="112"/>
      <c r="B44" s="115"/>
      <c r="C44" s="162"/>
      <c r="D44" s="162"/>
      <c r="E44" s="157"/>
      <c r="F44" s="154"/>
      <c r="G44" s="154"/>
      <c r="H44" s="159"/>
      <c r="I44" s="159"/>
      <c r="J44" s="159"/>
      <c r="K44" s="159"/>
      <c r="L44" s="159"/>
      <c r="M44" s="159"/>
      <c r="N44" s="159"/>
      <c r="O44" s="159"/>
      <c r="P44" s="159"/>
      <c r="Q44" s="159"/>
      <c r="R44" s="159"/>
      <c r="S44" s="214"/>
    </row>
    <row r="45" spans="1:19" ht="13.5" x14ac:dyDescent="0.3">
      <c r="A45" s="112"/>
      <c r="B45" s="116" t="s">
        <v>64</v>
      </c>
      <c r="C45" s="163"/>
      <c r="D45" s="163"/>
      <c r="E45" s="140">
        <f>+SUM(H45:S45)</f>
        <v>18112418.489068322</v>
      </c>
      <c r="F45" s="140"/>
      <c r="G45" s="140"/>
      <c r="H45" s="164">
        <f>+H31-SUM(H41:H43)</f>
        <v>0</v>
      </c>
      <c r="I45" s="164">
        <f>+I31-SUM(I41:I43)</f>
        <v>0</v>
      </c>
      <c r="J45" s="164">
        <f>+J31-SUM(J41:J43)</f>
        <v>0</v>
      </c>
      <c r="K45" s="164">
        <f>+K31-SUM(K41:K43)</f>
        <v>0</v>
      </c>
      <c r="L45" s="164">
        <f>+L31-SUM(L41:L43)</f>
        <v>0</v>
      </c>
      <c r="M45" s="164">
        <f t="shared" ref="M45:S45" si="21">+M31-SUM(M41:M43)</f>
        <v>0</v>
      </c>
      <c r="N45" s="164">
        <f t="shared" si="21"/>
        <v>0</v>
      </c>
      <c r="O45" s="164">
        <f t="shared" si="21"/>
        <v>0</v>
      </c>
      <c r="P45" s="164">
        <f t="shared" si="21"/>
        <v>0</v>
      </c>
      <c r="Q45" s="164">
        <f t="shared" si="21"/>
        <v>0</v>
      </c>
      <c r="R45" s="164">
        <f t="shared" si="21"/>
        <v>0</v>
      </c>
      <c r="S45" s="215">
        <f t="shared" si="21"/>
        <v>18112418.489068322</v>
      </c>
    </row>
    <row r="46" spans="1:19" ht="13.5" x14ac:dyDescent="0.3">
      <c r="A46" s="112"/>
      <c r="C46" s="165"/>
      <c r="D46" s="165"/>
      <c r="E46" s="149"/>
      <c r="F46" s="149"/>
      <c r="G46" s="149"/>
      <c r="H46" s="118"/>
      <c r="I46" s="118"/>
      <c r="J46" s="118"/>
      <c r="K46" s="118"/>
      <c r="L46" s="118"/>
      <c r="M46" s="118"/>
      <c r="N46" s="118"/>
      <c r="O46" s="118"/>
      <c r="P46" s="118"/>
      <c r="Q46" s="118"/>
      <c r="R46" s="118"/>
      <c r="S46" s="118"/>
    </row>
    <row r="47" spans="1:19" x14ac:dyDescent="0.3">
      <c r="A47" s="359" t="s">
        <v>164</v>
      </c>
      <c r="B47" s="111" t="s">
        <v>79</v>
      </c>
      <c r="C47" s="148" t="s">
        <v>72</v>
      </c>
      <c r="D47" s="146">
        <f>M7</f>
        <v>0.2</v>
      </c>
      <c r="E47" s="149"/>
      <c r="F47" s="149"/>
      <c r="G47" s="149"/>
      <c r="H47" s="118"/>
      <c r="I47" s="118"/>
      <c r="J47" s="118"/>
      <c r="K47" s="118"/>
      <c r="L47" s="118"/>
      <c r="M47" s="118"/>
      <c r="N47" s="118"/>
      <c r="O47" s="118"/>
      <c r="P47" s="118"/>
      <c r="Q47" s="118"/>
      <c r="R47" s="118"/>
      <c r="S47" s="118"/>
    </row>
    <row r="48" spans="1:19" x14ac:dyDescent="0.3">
      <c r="B48" s="113" t="s">
        <v>58</v>
      </c>
      <c r="C48" s="150"/>
      <c r="D48" s="150"/>
      <c r="E48" s="151"/>
      <c r="F48" s="151"/>
      <c r="G48" s="151"/>
      <c r="H48" s="152">
        <f>+G54</f>
        <v>0</v>
      </c>
      <c r="I48" s="152">
        <f>+H54</f>
        <v>0</v>
      </c>
      <c r="J48" s="152">
        <f>+I54</f>
        <v>2500000</v>
      </c>
      <c r="K48" s="152">
        <f>+J54</f>
        <v>12538273.676249327</v>
      </c>
      <c r="L48" s="152">
        <f>+K54</f>
        <v>14730228.007213423</v>
      </c>
      <c r="M48" s="152">
        <f t="shared" ref="M48:S48" si="22">+L54</f>
        <v>17955739.998344168</v>
      </c>
      <c r="N48" s="152">
        <f t="shared" si="22"/>
        <v>18630632.870149661</v>
      </c>
      <c r="O48" s="152">
        <f t="shared" si="22"/>
        <v>19015857.994466539</v>
      </c>
      <c r="P48" s="152">
        <f t="shared" si="22"/>
        <v>19239480.711459901</v>
      </c>
      <c r="Q48" s="152">
        <f t="shared" si="22"/>
        <v>19466526.973842144</v>
      </c>
      <c r="R48" s="152">
        <f t="shared" si="22"/>
        <v>19697049.194280401</v>
      </c>
      <c r="S48" s="212">
        <f t="shared" si="22"/>
        <v>19931100.58785199</v>
      </c>
    </row>
    <row r="49" spans="1:19" x14ac:dyDescent="0.3">
      <c r="B49" s="114" t="s">
        <v>59</v>
      </c>
      <c r="C49" s="153"/>
      <c r="D49" s="153"/>
      <c r="E49" s="154">
        <f>SUM(H49:S49)</f>
        <v>18000000</v>
      </c>
      <c r="F49" s="154"/>
      <c r="G49" s="154"/>
      <c r="H49" s="155">
        <f>+H22</f>
        <v>0</v>
      </c>
      <c r="I49" s="155">
        <f>+I22</f>
        <v>2500000</v>
      </c>
      <c r="J49" s="155">
        <f>+J22</f>
        <v>10000000</v>
      </c>
      <c r="K49" s="155">
        <f>+K22</f>
        <v>2000000</v>
      </c>
      <c r="L49" s="155">
        <f>+L22</f>
        <v>3000000</v>
      </c>
      <c r="M49" s="155">
        <f t="shared" ref="M49:S49" si="23">+M22</f>
        <v>400000</v>
      </c>
      <c r="N49" s="155">
        <f t="shared" si="23"/>
        <v>100000</v>
      </c>
      <c r="O49" s="155">
        <f t="shared" si="23"/>
        <v>0</v>
      </c>
      <c r="P49" s="155">
        <f t="shared" si="23"/>
        <v>0</v>
      </c>
      <c r="Q49" s="155">
        <f t="shared" si="23"/>
        <v>0</v>
      </c>
      <c r="R49" s="155">
        <f t="shared" si="23"/>
        <v>0</v>
      </c>
      <c r="S49" s="213">
        <f t="shared" si="23"/>
        <v>0</v>
      </c>
    </row>
    <row r="50" spans="1:19" x14ac:dyDescent="0.3">
      <c r="B50" s="114" t="s">
        <v>60</v>
      </c>
      <c r="C50" s="153"/>
      <c r="D50" s="153"/>
      <c r="E50" s="154">
        <f>SUM(H50:S50)</f>
        <v>2506235.1843288918</v>
      </c>
      <c r="F50" s="154"/>
      <c r="G50" s="154"/>
      <c r="H50" s="155">
        <f t="shared" ref="H50:S50" si="24">+H48*((1+$D$47)^(1/12)-1)</f>
        <v>0</v>
      </c>
      <c r="I50" s="155">
        <f t="shared" si="24"/>
        <v>0</v>
      </c>
      <c r="J50" s="155">
        <f t="shared" si="24"/>
        <v>38273.676249327982</v>
      </c>
      <c r="K50" s="155">
        <f t="shared" si="24"/>
        <v>191954.33096409525</v>
      </c>
      <c r="L50" s="155">
        <f t="shared" si="24"/>
        <v>225511.99113074809</v>
      </c>
      <c r="M50" s="155">
        <f t="shared" si="24"/>
        <v>274892.87180549343</v>
      </c>
      <c r="N50" s="155">
        <f t="shared" si="24"/>
        <v>285225.1243168785</v>
      </c>
      <c r="O50" s="155">
        <f t="shared" si="24"/>
        <v>291122.71699336305</v>
      </c>
      <c r="P50" s="155">
        <f t="shared" si="24"/>
        <v>294546.26238224265</v>
      </c>
      <c r="Q50" s="155">
        <f t="shared" si="24"/>
        <v>298022.22043825785</v>
      </c>
      <c r="R50" s="155">
        <f t="shared" si="24"/>
        <v>301551.39357158984</v>
      </c>
      <c r="S50" s="213">
        <f t="shared" si="24"/>
        <v>305134.59647689509</v>
      </c>
    </row>
    <row r="51" spans="1:19" x14ac:dyDescent="0.3">
      <c r="B51" s="114" t="s">
        <v>61</v>
      </c>
      <c r="C51" s="153"/>
      <c r="D51" s="153"/>
      <c r="E51" s="154">
        <f>SUM(H51:S51)</f>
        <v>-19268526.416913908</v>
      </c>
      <c r="F51" s="154"/>
      <c r="G51" s="154"/>
      <c r="H51" s="155">
        <f t="shared" ref="H51:S51" si="25">+H$24</f>
        <v>0</v>
      </c>
      <c r="I51" s="155">
        <f t="shared" si="25"/>
        <v>0</v>
      </c>
      <c r="J51" s="155">
        <f t="shared" si="25"/>
        <v>0</v>
      </c>
      <c r="K51" s="155">
        <f t="shared" si="25"/>
        <v>0</v>
      </c>
      <c r="L51" s="155">
        <f t="shared" si="25"/>
        <v>0</v>
      </c>
      <c r="M51" s="155">
        <f t="shared" si="25"/>
        <v>0</v>
      </c>
      <c r="N51" s="155">
        <f t="shared" si="25"/>
        <v>0</v>
      </c>
      <c r="O51" s="155">
        <f t="shared" si="25"/>
        <v>-67500</v>
      </c>
      <c r="P51" s="155">
        <f t="shared" si="25"/>
        <v>-67500</v>
      </c>
      <c r="Q51" s="155">
        <f t="shared" si="25"/>
        <v>-67500</v>
      </c>
      <c r="R51" s="155">
        <f t="shared" si="25"/>
        <v>-67500</v>
      </c>
      <c r="S51" s="213">
        <f t="shared" si="25"/>
        <v>-18998526.416913908</v>
      </c>
    </row>
    <row r="52" spans="1:19" x14ac:dyDescent="0.3">
      <c r="B52" s="114" t="s">
        <v>66</v>
      </c>
      <c r="C52" s="153"/>
      <c r="D52" s="153"/>
      <c r="E52" s="154">
        <f>SUM(H52:S52)</f>
        <v>-622486.17148853466</v>
      </c>
      <c r="F52" s="154"/>
      <c r="G52" s="154"/>
      <c r="H52" s="155">
        <f t="shared" ref="H52:S52" si="26">+H$38</f>
        <v>0</v>
      </c>
      <c r="I52" s="155">
        <f t="shared" si="26"/>
        <v>0</v>
      </c>
      <c r="J52" s="155">
        <f t="shared" si="26"/>
        <v>0</v>
      </c>
      <c r="K52" s="155">
        <f t="shared" si="26"/>
        <v>0</v>
      </c>
      <c r="L52" s="155">
        <f t="shared" si="26"/>
        <v>0</v>
      </c>
      <c r="M52" s="155">
        <f t="shared" si="26"/>
        <v>0</v>
      </c>
      <c r="N52" s="155">
        <f t="shared" si="26"/>
        <v>0</v>
      </c>
      <c r="O52" s="155">
        <f t="shared" si="26"/>
        <v>0</v>
      </c>
      <c r="P52" s="155">
        <f t="shared" si="26"/>
        <v>0</v>
      </c>
      <c r="Q52" s="155">
        <f t="shared" si="26"/>
        <v>0</v>
      </c>
      <c r="R52" s="155">
        <f t="shared" si="26"/>
        <v>0</v>
      </c>
      <c r="S52" s="213">
        <f t="shared" si="26"/>
        <v>-622486.17148853466</v>
      </c>
    </row>
    <row r="53" spans="1:19" x14ac:dyDescent="0.3">
      <c r="B53" s="114" t="s">
        <v>117</v>
      </c>
      <c r="C53" s="153"/>
      <c r="D53" s="153"/>
      <c r="E53" s="140">
        <f>SUM(H53:S53)</f>
        <v>-615222.59592644125</v>
      </c>
      <c r="F53" s="140"/>
      <c r="G53" s="140"/>
      <c r="H53" s="142">
        <f>MIN(0,MAX(-(H48+H50+H51+H52),-$C$56*H45))</f>
        <v>0</v>
      </c>
      <c r="I53" s="142">
        <f>MIN(0,MAX(-(I48+I50+I51+I52),-$C$56*I45))</f>
        <v>0</v>
      </c>
      <c r="J53" s="142">
        <f>MIN(0,MAX(-(J48+J50+J51+J52),-$C$56*J45))</f>
        <v>0</v>
      </c>
      <c r="K53" s="142">
        <f>MIN(0,MAX(-(K48+K50+K51+K52),-$C$56*K45))</f>
        <v>0</v>
      </c>
      <c r="L53" s="142">
        <f>MIN(0,MAX(-(L48+L50+L51+L52),-$C$56*L45))</f>
        <v>0</v>
      </c>
      <c r="M53" s="142">
        <f t="shared" ref="M53:S53" si="27">MIN(0,MAX(-(M48+M50+M51+M52),-$C$56*M45))</f>
        <v>0</v>
      </c>
      <c r="N53" s="142">
        <f t="shared" si="27"/>
        <v>0</v>
      </c>
      <c r="O53" s="142">
        <f t="shared" si="27"/>
        <v>0</v>
      </c>
      <c r="P53" s="142">
        <f t="shared" si="27"/>
        <v>0</v>
      </c>
      <c r="Q53" s="142">
        <f t="shared" si="27"/>
        <v>0</v>
      </c>
      <c r="R53" s="142">
        <f t="shared" si="27"/>
        <v>0</v>
      </c>
      <c r="S53" s="216">
        <f t="shared" si="27"/>
        <v>-615222.59592644125</v>
      </c>
    </row>
    <row r="54" spans="1:19" x14ac:dyDescent="0.3">
      <c r="B54" s="114" t="s">
        <v>62</v>
      </c>
      <c r="C54" s="153"/>
      <c r="D54" s="153"/>
      <c r="E54" s="154">
        <f>SUM(E49:E53)</f>
        <v>7.4505805969238281E-9</v>
      </c>
      <c r="F54" s="154"/>
      <c r="G54" s="277"/>
      <c r="H54" s="155">
        <f>SUM(H48:H53)</f>
        <v>0</v>
      </c>
      <c r="I54" s="155">
        <f>SUM(I48:I53)</f>
        <v>2500000</v>
      </c>
      <c r="J54" s="155">
        <f>SUM(J48:J53)</f>
        <v>12538273.676249327</v>
      </c>
      <c r="K54" s="155">
        <f>SUM(K48:K53)</f>
        <v>14730228.007213423</v>
      </c>
      <c r="L54" s="155">
        <f>SUM(L48:L53)</f>
        <v>17955739.998344168</v>
      </c>
      <c r="M54" s="155">
        <f t="shared" ref="M54:S54" si="28">SUM(M48:M53)</f>
        <v>18630632.870149661</v>
      </c>
      <c r="N54" s="155">
        <f t="shared" si="28"/>
        <v>19015857.994466539</v>
      </c>
      <c r="O54" s="155">
        <f t="shared" si="28"/>
        <v>19239480.711459901</v>
      </c>
      <c r="P54" s="155">
        <f t="shared" si="28"/>
        <v>19466526.973842144</v>
      </c>
      <c r="Q54" s="155">
        <f t="shared" si="28"/>
        <v>19697049.194280401</v>
      </c>
      <c r="R54" s="155">
        <f t="shared" si="28"/>
        <v>19931100.58785199</v>
      </c>
      <c r="S54" s="213">
        <f t="shared" si="28"/>
        <v>0</v>
      </c>
    </row>
    <row r="55" spans="1:19" x14ac:dyDescent="0.3">
      <c r="B55" s="114"/>
      <c r="C55" s="153"/>
      <c r="D55" s="153"/>
      <c r="E55" s="157"/>
      <c r="F55" s="157"/>
      <c r="G55" s="157"/>
      <c r="H55" s="155"/>
      <c r="I55" s="155"/>
      <c r="J55" s="155"/>
      <c r="K55" s="155"/>
      <c r="L55" s="155"/>
      <c r="M55" s="155"/>
      <c r="N55" s="155"/>
      <c r="O55" s="155"/>
      <c r="P55" s="155"/>
      <c r="Q55" s="155"/>
      <c r="R55" s="155"/>
      <c r="S55" s="213"/>
    </row>
    <row r="56" spans="1:19" x14ac:dyDescent="0.3">
      <c r="B56" s="115" t="s">
        <v>63</v>
      </c>
      <c r="C56" s="158">
        <f>Q7</f>
        <v>0.7</v>
      </c>
      <c r="D56" s="158"/>
      <c r="E56" s="154">
        <f>SUM(H56:S56)</f>
        <v>615222.59592644125</v>
      </c>
      <c r="F56" s="154"/>
      <c r="G56" s="154"/>
      <c r="H56" s="159">
        <f>MAX(0,MIN(-(H49+H53),H48+H50))</f>
        <v>0</v>
      </c>
      <c r="I56" s="159">
        <f>MAX(0,MIN(-(I49+I53),I48+I50))</f>
        <v>0</v>
      </c>
      <c r="J56" s="159">
        <f>MAX(0,MIN(-(J49+J53),J48+J50))</f>
        <v>0</v>
      </c>
      <c r="K56" s="159">
        <f>MAX(0,MIN(-(K49+K53),K48+K50))</f>
        <v>0</v>
      </c>
      <c r="L56" s="159">
        <f>MAX(0,MIN(-(L49+L53),L48+L50))</f>
        <v>0</v>
      </c>
      <c r="M56" s="159">
        <f t="shared" ref="M56:S56" si="29">MAX(0,MIN(-(M49+M53),M48+M50))</f>
        <v>0</v>
      </c>
      <c r="N56" s="159">
        <f t="shared" si="29"/>
        <v>0</v>
      </c>
      <c r="O56" s="159">
        <f t="shared" si="29"/>
        <v>0</v>
      </c>
      <c r="P56" s="159">
        <f t="shared" si="29"/>
        <v>0</v>
      </c>
      <c r="Q56" s="159">
        <f t="shared" si="29"/>
        <v>0</v>
      </c>
      <c r="R56" s="159">
        <f t="shared" si="29"/>
        <v>0</v>
      </c>
      <c r="S56" s="214">
        <f t="shared" si="29"/>
        <v>615222.59592644125</v>
      </c>
    </row>
    <row r="57" spans="1:19" x14ac:dyDescent="0.3">
      <c r="B57" s="115" t="s">
        <v>125</v>
      </c>
      <c r="C57" s="158">
        <f>N7</f>
        <v>0.1</v>
      </c>
      <c r="D57" s="158"/>
      <c r="E57" s="154">
        <f>SUM(H57:S57)</f>
        <v>87888.942275205904</v>
      </c>
      <c r="F57" s="154"/>
      <c r="G57" s="154"/>
      <c r="H57" s="159">
        <f>-H53/$C$56*$C$57</f>
        <v>0</v>
      </c>
      <c r="I57" s="159">
        <f>-I53/$C$56*$C$57</f>
        <v>0</v>
      </c>
      <c r="J57" s="159">
        <f>-J53/$C$56*$C$57</f>
        <v>0</v>
      </c>
      <c r="K57" s="159">
        <f>-K53/$C$56*$C$57</f>
        <v>0</v>
      </c>
      <c r="L57" s="159">
        <f>-L53/$C$56*$C$57</f>
        <v>0</v>
      </c>
      <c r="M57" s="159">
        <f t="shared" ref="M57:S57" si="30">-M53/$C$56*$C$57</f>
        <v>0</v>
      </c>
      <c r="N57" s="159">
        <f t="shared" si="30"/>
        <v>0</v>
      </c>
      <c r="O57" s="159">
        <f t="shared" si="30"/>
        <v>0</v>
      </c>
      <c r="P57" s="159">
        <f t="shared" si="30"/>
        <v>0</v>
      </c>
      <c r="Q57" s="159">
        <f t="shared" si="30"/>
        <v>0</v>
      </c>
      <c r="R57" s="159">
        <f t="shared" si="30"/>
        <v>0</v>
      </c>
      <c r="S57" s="214">
        <f t="shared" si="30"/>
        <v>87888.942275205904</v>
      </c>
    </row>
    <row r="58" spans="1:19" ht="13.9" customHeight="1" x14ac:dyDescent="0.3">
      <c r="B58" s="115" t="s">
        <v>126</v>
      </c>
      <c r="C58" s="158">
        <f>O7</f>
        <v>0.2</v>
      </c>
      <c r="D58" s="158"/>
      <c r="E58" s="154">
        <f>+SUM(H58:S58)</f>
        <v>175777.88455041181</v>
      </c>
      <c r="F58" s="161"/>
      <c r="G58" s="161"/>
      <c r="H58" s="159">
        <f>-H53/$C$56*$C$58</f>
        <v>0</v>
      </c>
      <c r="I58" s="159">
        <f>-I53/$C$56*$C$58</f>
        <v>0</v>
      </c>
      <c r="J58" s="159">
        <f>-J53/$C$56*$C$58</f>
        <v>0</v>
      </c>
      <c r="K58" s="159">
        <f>-K53/$C$56*$C$58</f>
        <v>0</v>
      </c>
      <c r="L58" s="159">
        <f>-L53/$C$56*$C$58</f>
        <v>0</v>
      </c>
      <c r="M58" s="159">
        <f t="shared" ref="M58:S58" si="31">-M53/$C$56*$C$58</f>
        <v>0</v>
      </c>
      <c r="N58" s="159">
        <f t="shared" si="31"/>
        <v>0</v>
      </c>
      <c r="O58" s="159">
        <f t="shared" si="31"/>
        <v>0</v>
      </c>
      <c r="P58" s="159">
        <f t="shared" si="31"/>
        <v>0</v>
      </c>
      <c r="Q58" s="159">
        <f t="shared" si="31"/>
        <v>0</v>
      </c>
      <c r="R58" s="159">
        <f t="shared" si="31"/>
        <v>0</v>
      </c>
      <c r="S58" s="214">
        <f t="shared" si="31"/>
        <v>175777.88455041181</v>
      </c>
    </row>
    <row r="59" spans="1:19" x14ac:dyDescent="0.3">
      <c r="B59" s="115"/>
      <c r="C59" s="162"/>
      <c r="D59" s="162"/>
      <c r="E59" s="157"/>
      <c r="F59" s="154"/>
      <c r="G59" s="154"/>
      <c r="H59" s="159"/>
      <c r="I59" s="159"/>
      <c r="J59" s="159"/>
      <c r="K59" s="159"/>
      <c r="L59" s="159"/>
      <c r="M59" s="159"/>
      <c r="N59" s="159"/>
      <c r="O59" s="159"/>
      <c r="P59" s="159"/>
      <c r="Q59" s="159"/>
      <c r="R59" s="159"/>
      <c r="S59" s="214"/>
    </row>
    <row r="60" spans="1:19" x14ac:dyDescent="0.3">
      <c r="B60" s="116" t="s">
        <v>64</v>
      </c>
      <c r="C60" s="163"/>
      <c r="D60" s="163"/>
      <c r="E60" s="140">
        <f>+SUM(H60:S60)</f>
        <v>17233529.066316262</v>
      </c>
      <c r="F60" s="140"/>
      <c r="G60" s="140"/>
      <c r="H60" s="164">
        <f>+H45-SUM(H56:H58)</f>
        <v>0</v>
      </c>
      <c r="I60" s="164">
        <f>+I45-SUM(I56:I58)</f>
        <v>0</v>
      </c>
      <c r="J60" s="164">
        <f>+J45-SUM(J56:J58)</f>
        <v>0</v>
      </c>
      <c r="K60" s="164">
        <f>+K45-SUM(K56:K58)</f>
        <v>0</v>
      </c>
      <c r="L60" s="164">
        <f>+L45-SUM(L56:L58)</f>
        <v>0</v>
      </c>
      <c r="M60" s="164">
        <f t="shared" ref="M60:S60" si="32">+M45-SUM(M56:M58)</f>
        <v>0</v>
      </c>
      <c r="N60" s="164">
        <f t="shared" si="32"/>
        <v>0</v>
      </c>
      <c r="O60" s="164">
        <f t="shared" si="32"/>
        <v>0</v>
      </c>
      <c r="P60" s="164">
        <f t="shared" si="32"/>
        <v>0</v>
      </c>
      <c r="Q60" s="164">
        <f t="shared" si="32"/>
        <v>0</v>
      </c>
      <c r="R60" s="164">
        <f t="shared" si="32"/>
        <v>0</v>
      </c>
      <c r="S60" s="215">
        <f t="shared" si="32"/>
        <v>17233529.066316262</v>
      </c>
    </row>
    <row r="61" spans="1:19" x14ac:dyDescent="0.3">
      <c r="C61" s="135"/>
      <c r="D61" s="135"/>
      <c r="E61" s="138"/>
      <c r="F61" s="138"/>
      <c r="G61" s="138"/>
      <c r="H61" s="118"/>
      <c r="I61" s="118"/>
      <c r="J61" s="118"/>
      <c r="K61" s="118"/>
      <c r="L61" s="118"/>
      <c r="M61" s="118"/>
      <c r="N61" s="118"/>
      <c r="O61" s="118"/>
      <c r="P61" s="118"/>
      <c r="Q61" s="118"/>
      <c r="R61" s="118"/>
      <c r="S61" s="118"/>
    </row>
    <row r="62" spans="1:19" x14ac:dyDescent="0.3">
      <c r="A62" s="359" t="s">
        <v>164</v>
      </c>
      <c r="B62" s="111" t="s">
        <v>113</v>
      </c>
      <c r="C62" s="148" t="s">
        <v>72</v>
      </c>
      <c r="D62" s="146">
        <f>M8</f>
        <v>0.25</v>
      </c>
      <c r="E62" s="278"/>
      <c r="F62" s="278"/>
      <c r="G62" s="278"/>
      <c r="H62" s="118"/>
      <c r="I62" s="118"/>
      <c r="J62" s="118"/>
      <c r="K62" s="118"/>
      <c r="L62" s="118"/>
      <c r="M62" s="118"/>
      <c r="N62" s="118"/>
      <c r="O62" s="118"/>
      <c r="P62" s="118"/>
      <c r="Q62" s="118"/>
      <c r="R62" s="118"/>
      <c r="S62" s="118"/>
    </row>
    <row r="63" spans="1:19" x14ac:dyDescent="0.3">
      <c r="B63" s="113" t="s">
        <v>58</v>
      </c>
      <c r="C63" s="166"/>
      <c r="D63" s="166"/>
      <c r="E63" s="151"/>
      <c r="F63" s="151"/>
      <c r="G63" s="151"/>
      <c r="H63" s="152">
        <f>+G70</f>
        <v>0</v>
      </c>
      <c r="I63" s="152">
        <f>+H70</f>
        <v>0</v>
      </c>
      <c r="J63" s="152">
        <f>+I70</f>
        <v>2500000</v>
      </c>
      <c r="K63" s="152">
        <f>+J70</f>
        <v>12546923.162803765</v>
      </c>
      <c r="L63" s="152">
        <f>+K70</f>
        <v>14782419.690105595</v>
      </c>
      <c r="M63" s="152">
        <f t="shared" ref="M63:S63" si="33">+L70</f>
        <v>18059874.84440656</v>
      </c>
      <c r="N63" s="152">
        <f t="shared" si="33"/>
        <v>18798845.423422445</v>
      </c>
      <c r="O63" s="152">
        <f t="shared" si="33"/>
        <v>19251685.937152874</v>
      </c>
      <c r="P63" s="152">
        <f t="shared" si="33"/>
        <v>19545525.934543267</v>
      </c>
      <c r="Q63" s="152">
        <f t="shared" si="33"/>
        <v>19844881.092747983</v>
      </c>
      <c r="R63" s="152">
        <f t="shared" si="33"/>
        <v>20149854.927282535</v>
      </c>
      <c r="S63" s="212">
        <f t="shared" si="33"/>
        <v>20460552.896572586</v>
      </c>
    </row>
    <row r="64" spans="1:19" x14ac:dyDescent="0.3">
      <c r="B64" s="114" t="s">
        <v>59</v>
      </c>
      <c r="C64" s="158"/>
      <c r="D64" s="158"/>
      <c r="E64" s="154">
        <f t="shared" ref="E64:E69" si="34">SUM(H64:S64)</f>
        <v>18000000</v>
      </c>
      <c r="F64" s="154"/>
      <c r="G64" s="154"/>
      <c r="H64" s="155">
        <f>+H22</f>
        <v>0</v>
      </c>
      <c r="I64" s="155">
        <f>+I22</f>
        <v>2500000</v>
      </c>
      <c r="J64" s="155">
        <f>+J22</f>
        <v>10000000</v>
      </c>
      <c r="K64" s="155">
        <f>+K22</f>
        <v>2000000</v>
      </c>
      <c r="L64" s="155">
        <f>+L22</f>
        <v>3000000</v>
      </c>
      <c r="M64" s="155">
        <f t="shared" ref="M64:S64" si="35">+M22</f>
        <v>400000</v>
      </c>
      <c r="N64" s="155">
        <f t="shared" si="35"/>
        <v>100000</v>
      </c>
      <c r="O64" s="155">
        <f t="shared" si="35"/>
        <v>0</v>
      </c>
      <c r="P64" s="155">
        <f t="shared" si="35"/>
        <v>0</v>
      </c>
      <c r="Q64" s="155">
        <f t="shared" si="35"/>
        <v>0</v>
      </c>
      <c r="R64" s="155">
        <f t="shared" si="35"/>
        <v>0</v>
      </c>
      <c r="S64" s="213">
        <f t="shared" si="35"/>
        <v>0</v>
      </c>
    </row>
    <row r="65" spans="1:19" x14ac:dyDescent="0.3">
      <c r="B65" s="114" t="s">
        <v>60</v>
      </c>
      <c r="C65" s="158"/>
      <c r="D65" s="158"/>
      <c r="E65" s="154">
        <f t="shared" si="34"/>
        <v>3114582.438420956</v>
      </c>
      <c r="F65" s="154"/>
      <c r="G65" s="154"/>
      <c r="H65" s="155">
        <f t="shared" ref="H65:S65" si="36">+H63*((1+$D$62)^(1/12)-1)</f>
        <v>0</v>
      </c>
      <c r="I65" s="155">
        <f t="shared" si="36"/>
        <v>0</v>
      </c>
      <c r="J65" s="155">
        <f t="shared" si="36"/>
        <v>46923.162803765292</v>
      </c>
      <c r="K65" s="155">
        <f t="shared" si="36"/>
        <v>235496.52730182995</v>
      </c>
      <c r="L65" s="155">
        <f t="shared" si="36"/>
        <v>277455.1543009642</v>
      </c>
      <c r="M65" s="155">
        <f t="shared" si="36"/>
        <v>338970.57901588577</v>
      </c>
      <c r="N65" s="155">
        <f t="shared" si="36"/>
        <v>352840.51373042777</v>
      </c>
      <c r="O65" s="155">
        <f t="shared" si="36"/>
        <v>361339.99739039323</v>
      </c>
      <c r="P65" s="155">
        <f t="shared" si="36"/>
        <v>366855.15820471622</v>
      </c>
      <c r="Q65" s="155">
        <f t="shared" si="36"/>
        <v>372473.8345345509</v>
      </c>
      <c r="R65" s="155">
        <f t="shared" si="36"/>
        <v>378197.96929005225</v>
      </c>
      <c r="S65" s="213">
        <f t="shared" si="36"/>
        <v>384029.54184837081</v>
      </c>
    </row>
    <row r="66" spans="1:19" x14ac:dyDescent="0.3">
      <c r="B66" s="114" t="s">
        <v>61</v>
      </c>
      <c r="C66" s="158"/>
      <c r="D66" s="158"/>
      <c r="E66" s="154">
        <f t="shared" si="34"/>
        <v>-19268526.416913908</v>
      </c>
      <c r="F66" s="154"/>
      <c r="G66" s="154"/>
      <c r="H66" s="155">
        <f t="shared" ref="H66:S66" si="37">+H$24</f>
        <v>0</v>
      </c>
      <c r="I66" s="155">
        <f t="shared" si="37"/>
        <v>0</v>
      </c>
      <c r="J66" s="155">
        <f t="shared" si="37"/>
        <v>0</v>
      </c>
      <c r="K66" s="155">
        <f t="shared" si="37"/>
        <v>0</v>
      </c>
      <c r="L66" s="155">
        <f t="shared" si="37"/>
        <v>0</v>
      </c>
      <c r="M66" s="155">
        <f t="shared" si="37"/>
        <v>0</v>
      </c>
      <c r="N66" s="155">
        <f t="shared" si="37"/>
        <v>0</v>
      </c>
      <c r="O66" s="155">
        <f t="shared" si="37"/>
        <v>-67500</v>
      </c>
      <c r="P66" s="155">
        <f t="shared" si="37"/>
        <v>-67500</v>
      </c>
      <c r="Q66" s="155">
        <f t="shared" si="37"/>
        <v>-67500</v>
      </c>
      <c r="R66" s="155">
        <f t="shared" si="37"/>
        <v>-67500</v>
      </c>
      <c r="S66" s="213">
        <f t="shared" si="37"/>
        <v>-18998526.416913908</v>
      </c>
    </row>
    <row r="67" spans="1:19" x14ac:dyDescent="0.3">
      <c r="B67" s="114" t="s">
        <v>66</v>
      </c>
      <c r="C67" s="158"/>
      <c r="D67" s="158"/>
      <c r="E67" s="154">
        <f t="shared" si="34"/>
        <v>-622486.17148853466</v>
      </c>
      <c r="F67" s="154"/>
      <c r="G67" s="154"/>
      <c r="H67" s="155">
        <f t="shared" ref="H67:S67" si="38">+H$38</f>
        <v>0</v>
      </c>
      <c r="I67" s="155">
        <f t="shared" si="38"/>
        <v>0</v>
      </c>
      <c r="J67" s="155">
        <f t="shared" si="38"/>
        <v>0</v>
      </c>
      <c r="K67" s="155">
        <f t="shared" si="38"/>
        <v>0</v>
      </c>
      <c r="L67" s="155">
        <f t="shared" si="38"/>
        <v>0</v>
      </c>
      <c r="M67" s="155">
        <f t="shared" si="38"/>
        <v>0</v>
      </c>
      <c r="N67" s="155">
        <f t="shared" si="38"/>
        <v>0</v>
      </c>
      <c r="O67" s="155">
        <f t="shared" si="38"/>
        <v>0</v>
      </c>
      <c r="P67" s="155">
        <f t="shared" si="38"/>
        <v>0</v>
      </c>
      <c r="Q67" s="155">
        <f t="shared" si="38"/>
        <v>0</v>
      </c>
      <c r="R67" s="155">
        <f t="shared" si="38"/>
        <v>0</v>
      </c>
      <c r="S67" s="213">
        <f t="shared" si="38"/>
        <v>-622486.17148853466</v>
      </c>
    </row>
    <row r="68" spans="1:19" x14ac:dyDescent="0.3">
      <c r="B68" s="114" t="s">
        <v>117</v>
      </c>
      <c r="C68" s="158"/>
      <c r="D68" s="158"/>
      <c r="E68" s="154">
        <f t="shared" si="34"/>
        <v>-615222.59592644125</v>
      </c>
      <c r="F68" s="154"/>
      <c r="G68" s="154"/>
      <c r="H68" s="155">
        <f t="shared" ref="H68:S68" si="39">+H$53</f>
        <v>0</v>
      </c>
      <c r="I68" s="155">
        <f t="shared" si="39"/>
        <v>0</v>
      </c>
      <c r="J68" s="155">
        <f t="shared" si="39"/>
        <v>0</v>
      </c>
      <c r="K68" s="155">
        <f t="shared" si="39"/>
        <v>0</v>
      </c>
      <c r="L68" s="155">
        <f t="shared" si="39"/>
        <v>0</v>
      </c>
      <c r="M68" s="155">
        <f t="shared" si="39"/>
        <v>0</v>
      </c>
      <c r="N68" s="155">
        <f t="shared" si="39"/>
        <v>0</v>
      </c>
      <c r="O68" s="155">
        <f t="shared" si="39"/>
        <v>0</v>
      </c>
      <c r="P68" s="155">
        <f t="shared" si="39"/>
        <v>0</v>
      </c>
      <c r="Q68" s="155">
        <f t="shared" si="39"/>
        <v>0</v>
      </c>
      <c r="R68" s="155">
        <f t="shared" si="39"/>
        <v>0</v>
      </c>
      <c r="S68" s="213">
        <f t="shared" si="39"/>
        <v>-615222.59592644125</v>
      </c>
    </row>
    <row r="69" spans="1:19" x14ac:dyDescent="0.3">
      <c r="B69" s="114" t="s">
        <v>118</v>
      </c>
      <c r="C69" s="158"/>
      <c r="D69" s="158"/>
      <c r="E69" s="140">
        <f t="shared" si="34"/>
        <v>-608347.25409207493</v>
      </c>
      <c r="F69" s="140"/>
      <c r="G69" s="140"/>
      <c r="H69" s="142">
        <f>MIN(0,MAX(-(H63+H65+H66+H67+H68),-$C$72*H60))</f>
        <v>0</v>
      </c>
      <c r="I69" s="142">
        <f>MIN(0,MAX(-(I63+I65+I66+I67+I68),-$C$72*I60))</f>
        <v>0</v>
      </c>
      <c r="J69" s="142">
        <f>MIN(0,MAX(-(J63+J65+J66+J67+J68),-$C$72*J60))</f>
        <v>0</v>
      </c>
      <c r="K69" s="142">
        <f>MIN(0,MAX(-(K63+K65+K66+K67+K68),-$C$72*K60))</f>
        <v>0</v>
      </c>
      <c r="L69" s="142">
        <f>MIN(0,MAX(-(L63+L65+L66+L67+L68),-$C$72*L60))</f>
        <v>0</v>
      </c>
      <c r="M69" s="142">
        <f t="shared" ref="M69:S69" si="40">MIN(0,MAX(-(M63+M65+M66+M67+M68),-$C$72*M60))</f>
        <v>0</v>
      </c>
      <c r="N69" s="142">
        <f t="shared" si="40"/>
        <v>0</v>
      </c>
      <c r="O69" s="142">
        <f t="shared" si="40"/>
        <v>0</v>
      </c>
      <c r="P69" s="142">
        <f t="shared" si="40"/>
        <v>0</v>
      </c>
      <c r="Q69" s="142">
        <f t="shared" si="40"/>
        <v>0</v>
      </c>
      <c r="R69" s="142">
        <f t="shared" si="40"/>
        <v>0</v>
      </c>
      <c r="S69" s="216">
        <f t="shared" si="40"/>
        <v>-608347.25409207493</v>
      </c>
    </row>
    <row r="70" spans="1:19" x14ac:dyDescent="0.3">
      <c r="B70" s="114" t="s">
        <v>62</v>
      </c>
      <c r="C70" s="158"/>
      <c r="D70" s="158"/>
      <c r="E70" s="154">
        <f>SUM(E64:E69)</f>
        <v>-3.7252902984619141E-9</v>
      </c>
      <c r="F70" s="154"/>
      <c r="G70" s="277"/>
      <c r="H70" s="155">
        <f>SUM(H63:H69)</f>
        <v>0</v>
      </c>
      <c r="I70" s="155">
        <f>SUM(I63:I69)</f>
        <v>2500000</v>
      </c>
      <c r="J70" s="155">
        <f>SUM(J63:J69)</f>
        <v>12546923.162803765</v>
      </c>
      <c r="K70" s="155">
        <f>SUM(K63:K69)</f>
        <v>14782419.690105595</v>
      </c>
      <c r="L70" s="155">
        <f>SUM(L63:L69)</f>
        <v>18059874.84440656</v>
      </c>
      <c r="M70" s="155">
        <f t="shared" ref="M70:S70" si="41">SUM(M63:M69)</f>
        <v>18798845.423422445</v>
      </c>
      <c r="N70" s="155">
        <f t="shared" si="41"/>
        <v>19251685.937152874</v>
      </c>
      <c r="O70" s="155">
        <f t="shared" si="41"/>
        <v>19545525.934543267</v>
      </c>
      <c r="P70" s="155">
        <f t="shared" si="41"/>
        <v>19844881.092747983</v>
      </c>
      <c r="Q70" s="155">
        <f t="shared" si="41"/>
        <v>20149854.927282535</v>
      </c>
      <c r="R70" s="155">
        <f t="shared" si="41"/>
        <v>20460552.896572586</v>
      </c>
      <c r="S70" s="213">
        <f t="shared" si="41"/>
        <v>0</v>
      </c>
    </row>
    <row r="71" spans="1:19" x14ac:dyDescent="0.3">
      <c r="B71" s="114"/>
      <c r="C71" s="158"/>
      <c r="D71" s="158"/>
      <c r="E71" s="157"/>
      <c r="F71" s="157"/>
      <c r="G71" s="157"/>
      <c r="H71" s="155"/>
      <c r="I71" s="155"/>
      <c r="J71" s="155"/>
      <c r="K71" s="155"/>
      <c r="L71" s="155"/>
      <c r="M71" s="155"/>
      <c r="N71" s="155"/>
      <c r="O71" s="155"/>
      <c r="P71" s="155"/>
      <c r="Q71" s="155"/>
      <c r="R71" s="155"/>
      <c r="S71" s="213"/>
    </row>
    <row r="72" spans="1:19" x14ac:dyDescent="0.3">
      <c r="B72" s="115" t="s">
        <v>63</v>
      </c>
      <c r="C72" s="158">
        <f>Q8</f>
        <v>0.6</v>
      </c>
      <c r="D72" s="158"/>
      <c r="E72" s="154">
        <f>SUM(H72:S72)</f>
        <v>608347.25409207493</v>
      </c>
      <c r="F72" s="154"/>
      <c r="G72" s="154"/>
      <c r="H72" s="159">
        <f>MAX(0,MIN(-(H64+H69),H63+H65))</f>
        <v>0</v>
      </c>
      <c r="I72" s="159">
        <f>MAX(0,MIN(-(I64+I69),I63+I65))</f>
        <v>0</v>
      </c>
      <c r="J72" s="159">
        <f>MAX(0,MIN(-(J64+J69),J63+J65))</f>
        <v>0</v>
      </c>
      <c r="K72" s="159">
        <f>MAX(0,MIN(-(K64+K69),K63+K65))</f>
        <v>0</v>
      </c>
      <c r="L72" s="159">
        <f>MAX(0,MIN(-(L64+L69),L63+L65))</f>
        <v>0</v>
      </c>
      <c r="M72" s="159">
        <f t="shared" ref="M72:S72" si="42">MAX(0,MIN(-(M64+M69),M63+M65))</f>
        <v>0</v>
      </c>
      <c r="N72" s="159">
        <f t="shared" si="42"/>
        <v>0</v>
      </c>
      <c r="O72" s="159">
        <f t="shared" si="42"/>
        <v>0</v>
      </c>
      <c r="P72" s="159">
        <f t="shared" si="42"/>
        <v>0</v>
      </c>
      <c r="Q72" s="159">
        <f t="shared" si="42"/>
        <v>0</v>
      </c>
      <c r="R72" s="159">
        <f t="shared" si="42"/>
        <v>0</v>
      </c>
      <c r="S72" s="214">
        <f t="shared" si="42"/>
        <v>608347.25409207493</v>
      </c>
    </row>
    <row r="73" spans="1:19" x14ac:dyDescent="0.3">
      <c r="B73" s="115" t="s">
        <v>125</v>
      </c>
      <c r="C73" s="158">
        <f>N8</f>
        <v>0.1</v>
      </c>
      <c r="D73" s="158"/>
      <c r="E73" s="154">
        <f>SUM(H73:S73)</f>
        <v>101391.20901534584</v>
      </c>
      <c r="F73" s="154"/>
      <c r="G73" s="154"/>
      <c r="H73" s="159">
        <f>-H69/$C$72*$C$73</f>
        <v>0</v>
      </c>
      <c r="I73" s="159">
        <f>-I69/$C$72*$C$73</f>
        <v>0</v>
      </c>
      <c r="J73" s="159">
        <f>-J69/$C$72*$C$73</f>
        <v>0</v>
      </c>
      <c r="K73" s="159">
        <f>-K69/$C$72*$C$73</f>
        <v>0</v>
      </c>
      <c r="L73" s="159">
        <f>-L69/$C$72*$C$73</f>
        <v>0</v>
      </c>
      <c r="M73" s="159">
        <f t="shared" ref="M73:S73" si="43">-M69/$C$72*$C$73</f>
        <v>0</v>
      </c>
      <c r="N73" s="159">
        <f t="shared" si="43"/>
        <v>0</v>
      </c>
      <c r="O73" s="159">
        <f t="shared" si="43"/>
        <v>0</v>
      </c>
      <c r="P73" s="159">
        <f t="shared" si="43"/>
        <v>0</v>
      </c>
      <c r="Q73" s="159">
        <f t="shared" si="43"/>
        <v>0</v>
      </c>
      <c r="R73" s="159">
        <f t="shared" si="43"/>
        <v>0</v>
      </c>
      <c r="S73" s="214">
        <f t="shared" si="43"/>
        <v>101391.20901534584</v>
      </c>
    </row>
    <row r="74" spans="1:19" x14ac:dyDescent="0.3">
      <c r="B74" s="115" t="s">
        <v>126</v>
      </c>
      <c r="C74" s="158">
        <f>O8</f>
        <v>0.3</v>
      </c>
      <c r="D74" s="158"/>
      <c r="E74" s="154">
        <f>+SUM(H74:S74)</f>
        <v>304173.62704603747</v>
      </c>
      <c r="F74" s="161"/>
      <c r="G74" s="161"/>
      <c r="H74" s="159">
        <f>-H69/$C$72*$C$74</f>
        <v>0</v>
      </c>
      <c r="I74" s="159">
        <f>-I69/$C$72*$C$74</f>
        <v>0</v>
      </c>
      <c r="J74" s="159">
        <f>-J69/$C$72*$C$74</f>
        <v>0</v>
      </c>
      <c r="K74" s="159">
        <f>-K69/$C$72*$C$74</f>
        <v>0</v>
      </c>
      <c r="L74" s="159">
        <f>-L69/$C$72*$C$74</f>
        <v>0</v>
      </c>
      <c r="M74" s="159">
        <f t="shared" ref="M74:S74" si="44">-M69/$C$72*$C$74</f>
        <v>0</v>
      </c>
      <c r="N74" s="159">
        <f t="shared" si="44"/>
        <v>0</v>
      </c>
      <c r="O74" s="159">
        <f t="shared" si="44"/>
        <v>0</v>
      </c>
      <c r="P74" s="159">
        <f t="shared" si="44"/>
        <v>0</v>
      </c>
      <c r="Q74" s="159">
        <f t="shared" si="44"/>
        <v>0</v>
      </c>
      <c r="R74" s="159">
        <f t="shared" si="44"/>
        <v>0</v>
      </c>
      <c r="S74" s="214">
        <f t="shared" si="44"/>
        <v>304173.62704603747</v>
      </c>
    </row>
    <row r="75" spans="1:19" x14ac:dyDescent="0.3">
      <c r="B75" s="115"/>
      <c r="C75" s="162"/>
      <c r="D75" s="162"/>
      <c r="E75" s="157"/>
      <c r="F75" s="154"/>
      <c r="G75" s="154"/>
      <c r="H75" s="159"/>
      <c r="I75" s="159"/>
      <c r="J75" s="159"/>
      <c r="K75" s="159"/>
      <c r="L75" s="159"/>
      <c r="M75" s="159"/>
      <c r="N75" s="159"/>
      <c r="O75" s="159"/>
      <c r="P75" s="159"/>
      <c r="Q75" s="159"/>
      <c r="R75" s="159"/>
      <c r="S75" s="214"/>
    </row>
    <row r="76" spans="1:19" x14ac:dyDescent="0.3">
      <c r="B76" s="116" t="s">
        <v>64</v>
      </c>
      <c r="C76" s="163"/>
      <c r="D76" s="163"/>
      <c r="E76" s="140">
        <f>+SUM(H76:S76)</f>
        <v>16219616.976162804</v>
      </c>
      <c r="F76" s="140"/>
      <c r="G76" s="140"/>
      <c r="H76" s="164">
        <f>+H60-SUM(H72:H74)</f>
        <v>0</v>
      </c>
      <c r="I76" s="164">
        <f>+I60-SUM(I72:I74)</f>
        <v>0</v>
      </c>
      <c r="J76" s="164">
        <f>+J60-SUM(J72:J74)</f>
        <v>0</v>
      </c>
      <c r="K76" s="164">
        <f>+K60-SUM(K72:K74)</f>
        <v>0</v>
      </c>
      <c r="L76" s="164">
        <f>+L60-SUM(L72:L74)</f>
        <v>0</v>
      </c>
      <c r="M76" s="164">
        <f t="shared" ref="M76:S76" si="45">+M60-SUM(M72:M74)</f>
        <v>0</v>
      </c>
      <c r="N76" s="164">
        <f t="shared" si="45"/>
        <v>0</v>
      </c>
      <c r="O76" s="164">
        <f t="shared" si="45"/>
        <v>0</v>
      </c>
      <c r="P76" s="164">
        <f t="shared" si="45"/>
        <v>0</v>
      </c>
      <c r="Q76" s="164">
        <f t="shared" si="45"/>
        <v>0</v>
      </c>
      <c r="R76" s="164">
        <f t="shared" si="45"/>
        <v>0</v>
      </c>
      <c r="S76" s="215">
        <f t="shared" si="45"/>
        <v>16219616.976162804</v>
      </c>
    </row>
    <row r="77" spans="1:19" x14ac:dyDescent="0.3">
      <c r="C77" s="135"/>
      <c r="D77" s="135"/>
      <c r="E77" s="138"/>
      <c r="F77" s="138"/>
      <c r="G77" s="138"/>
      <c r="H77" s="118"/>
      <c r="I77" s="118"/>
      <c r="J77" s="118"/>
      <c r="K77" s="118"/>
      <c r="L77" s="118"/>
      <c r="M77" s="118"/>
      <c r="N77" s="118"/>
      <c r="O77" s="118"/>
      <c r="P77" s="118"/>
      <c r="Q77" s="118"/>
      <c r="R77" s="118"/>
      <c r="S77" s="118"/>
    </row>
    <row r="78" spans="1:19" x14ac:dyDescent="0.3">
      <c r="A78" s="359" t="s">
        <v>164</v>
      </c>
      <c r="B78" s="111" t="s">
        <v>114</v>
      </c>
      <c r="C78" s="279" t="s">
        <v>80</v>
      </c>
      <c r="D78" s="146">
        <f>M9</f>
        <v>0.25</v>
      </c>
      <c r="E78" s="138"/>
      <c r="F78" s="138"/>
      <c r="G78" s="138"/>
      <c r="H78" s="118"/>
      <c r="I78" s="118"/>
      <c r="J78" s="118"/>
      <c r="K78" s="118"/>
      <c r="L78" s="118"/>
      <c r="M78" s="118"/>
      <c r="N78" s="118"/>
      <c r="O78" s="118"/>
      <c r="P78" s="118"/>
      <c r="Q78" s="118"/>
      <c r="R78" s="118"/>
      <c r="S78" s="118"/>
    </row>
    <row r="79" spans="1:19" x14ac:dyDescent="0.3">
      <c r="B79" s="167" t="s">
        <v>63</v>
      </c>
      <c r="C79" s="166">
        <f>Q9</f>
        <v>0.4</v>
      </c>
      <c r="D79" s="166"/>
      <c r="E79" s="168">
        <f>SUM(H79:S79)</f>
        <v>6487846.7904651221</v>
      </c>
      <c r="F79" s="151"/>
      <c r="G79" s="151"/>
      <c r="H79" s="152">
        <f>+$C$79*H76</f>
        <v>0</v>
      </c>
      <c r="I79" s="152">
        <f>+$C$79*I76</f>
        <v>0</v>
      </c>
      <c r="J79" s="152">
        <f>+$C$79*J76</f>
        <v>0</v>
      </c>
      <c r="K79" s="152">
        <f>+$C$79*K76</f>
        <v>0</v>
      </c>
      <c r="L79" s="152">
        <f>+$C$79*L76</f>
        <v>0</v>
      </c>
      <c r="M79" s="152">
        <f t="shared" ref="M79:S79" si="46">+$C$79*M76</f>
        <v>0</v>
      </c>
      <c r="N79" s="152">
        <f t="shared" si="46"/>
        <v>0</v>
      </c>
      <c r="O79" s="152">
        <f t="shared" si="46"/>
        <v>0</v>
      </c>
      <c r="P79" s="152">
        <f t="shared" si="46"/>
        <v>0</v>
      </c>
      <c r="Q79" s="152">
        <f t="shared" si="46"/>
        <v>0</v>
      </c>
      <c r="R79" s="152">
        <f t="shared" si="46"/>
        <v>0</v>
      </c>
      <c r="S79" s="212">
        <f t="shared" si="46"/>
        <v>6487846.7904651221</v>
      </c>
    </row>
    <row r="80" spans="1:19" x14ac:dyDescent="0.3">
      <c r="B80" s="115" t="s">
        <v>125</v>
      </c>
      <c r="C80" s="158">
        <f>N9</f>
        <v>0.1</v>
      </c>
      <c r="D80" s="158"/>
      <c r="E80" s="154">
        <f>SUM(H80:S80)</f>
        <v>1621961.6976162805</v>
      </c>
      <c r="F80" s="157"/>
      <c r="G80" s="157"/>
      <c r="H80" s="155">
        <f>+$C$80*H76</f>
        <v>0</v>
      </c>
      <c r="I80" s="155">
        <f>+$C$80*I76</f>
        <v>0</v>
      </c>
      <c r="J80" s="155">
        <f>+$C$80*J76</f>
        <v>0</v>
      </c>
      <c r="K80" s="155">
        <f>+$C$80*K76</f>
        <v>0</v>
      </c>
      <c r="L80" s="155">
        <f>+$C$80*L76</f>
        <v>0</v>
      </c>
      <c r="M80" s="155">
        <f t="shared" ref="M80:S80" si="47">+$C$80*M76</f>
        <v>0</v>
      </c>
      <c r="N80" s="155">
        <f t="shared" si="47"/>
        <v>0</v>
      </c>
      <c r="O80" s="155">
        <f t="shared" si="47"/>
        <v>0</v>
      </c>
      <c r="P80" s="155">
        <f t="shared" si="47"/>
        <v>0</v>
      </c>
      <c r="Q80" s="155">
        <f t="shared" si="47"/>
        <v>0</v>
      </c>
      <c r="R80" s="155">
        <f t="shared" si="47"/>
        <v>0</v>
      </c>
      <c r="S80" s="213">
        <f t="shared" si="47"/>
        <v>1621961.6976162805</v>
      </c>
    </row>
    <row r="81" spans="2:19" x14ac:dyDescent="0.3">
      <c r="B81" s="115" t="s">
        <v>126</v>
      </c>
      <c r="C81" s="158">
        <f>O9</f>
        <v>0.5</v>
      </c>
      <c r="D81" s="158"/>
      <c r="E81" s="154">
        <f>+SUM(H81:S81)</f>
        <v>8109808.4880814021</v>
      </c>
      <c r="F81" s="169"/>
      <c r="G81" s="169"/>
      <c r="H81" s="155">
        <f>+$C$81*H76</f>
        <v>0</v>
      </c>
      <c r="I81" s="155">
        <f>+$C$81*I76</f>
        <v>0</v>
      </c>
      <c r="J81" s="155">
        <f>+$C$81*J76</f>
        <v>0</v>
      </c>
      <c r="K81" s="155">
        <f>+$C$81*K76</f>
        <v>0</v>
      </c>
      <c r="L81" s="155">
        <f>+$C$81*L76</f>
        <v>0</v>
      </c>
      <c r="M81" s="155">
        <f t="shared" ref="M81:S81" si="48">+$C$81*M76</f>
        <v>0</v>
      </c>
      <c r="N81" s="155">
        <f t="shared" si="48"/>
        <v>0</v>
      </c>
      <c r="O81" s="155">
        <f t="shared" si="48"/>
        <v>0</v>
      </c>
      <c r="P81" s="155">
        <f t="shared" si="48"/>
        <v>0</v>
      </c>
      <c r="Q81" s="155">
        <f t="shared" si="48"/>
        <v>0</v>
      </c>
      <c r="R81" s="155">
        <f t="shared" si="48"/>
        <v>0</v>
      </c>
      <c r="S81" s="213">
        <f t="shared" si="48"/>
        <v>8109808.4880814021</v>
      </c>
    </row>
    <row r="82" spans="2:19" x14ac:dyDescent="0.3">
      <c r="B82" s="115"/>
      <c r="C82" s="162"/>
      <c r="D82" s="162"/>
      <c r="E82" s="157"/>
      <c r="F82" s="154"/>
      <c r="G82" s="154"/>
      <c r="H82" s="159"/>
      <c r="I82" s="159"/>
      <c r="J82" s="159"/>
      <c r="K82" s="159"/>
      <c r="L82" s="159"/>
      <c r="M82" s="159"/>
      <c r="N82" s="159"/>
      <c r="O82" s="159"/>
      <c r="P82" s="159"/>
      <c r="Q82" s="159"/>
      <c r="R82" s="159"/>
      <c r="S82" s="214"/>
    </row>
    <row r="83" spans="2:19" s="130" customFormat="1" x14ac:dyDescent="0.3">
      <c r="B83" s="116" t="s">
        <v>64</v>
      </c>
      <c r="C83" s="170"/>
      <c r="D83" s="170"/>
      <c r="E83" s="140">
        <f>+SUM(H83:S83)</f>
        <v>0</v>
      </c>
      <c r="F83" s="140"/>
      <c r="G83" s="140"/>
      <c r="H83" s="164">
        <f t="shared" ref="H83:S83" si="49">+H76-SUM(H79:H81)</f>
        <v>0</v>
      </c>
      <c r="I83" s="164">
        <f t="shared" si="49"/>
        <v>0</v>
      </c>
      <c r="J83" s="164">
        <f t="shared" si="49"/>
        <v>0</v>
      </c>
      <c r="K83" s="164">
        <f t="shared" si="49"/>
        <v>0</v>
      </c>
      <c r="L83" s="164">
        <f t="shared" si="49"/>
        <v>0</v>
      </c>
      <c r="M83" s="164">
        <f t="shared" si="49"/>
        <v>0</v>
      </c>
      <c r="N83" s="164">
        <f t="shared" si="49"/>
        <v>0</v>
      </c>
      <c r="O83" s="164">
        <f t="shared" si="49"/>
        <v>0</v>
      </c>
      <c r="P83" s="164">
        <f t="shared" si="49"/>
        <v>0</v>
      </c>
      <c r="Q83" s="164">
        <f t="shared" si="49"/>
        <v>0</v>
      </c>
      <c r="R83" s="164">
        <f t="shared" si="49"/>
        <v>0</v>
      </c>
      <c r="S83" s="215">
        <f t="shared" si="49"/>
        <v>0</v>
      </c>
    </row>
    <row r="84" spans="2:19" x14ac:dyDescent="0.3">
      <c r="E84" s="138"/>
      <c r="F84" s="138"/>
      <c r="G84" s="138"/>
      <c r="H84" s="118"/>
      <c r="I84" s="118"/>
      <c r="J84" s="118"/>
      <c r="K84" s="118"/>
      <c r="L84" s="118"/>
      <c r="M84" s="118"/>
      <c r="N84" s="118"/>
      <c r="O84" s="118"/>
      <c r="P84" s="118"/>
      <c r="Q84" s="118"/>
      <c r="R84" s="118"/>
      <c r="S84" s="118"/>
    </row>
    <row r="85" spans="2:19" x14ac:dyDescent="0.3">
      <c r="B85" s="136" t="s">
        <v>81</v>
      </c>
      <c r="E85" s="138"/>
      <c r="F85" s="138"/>
      <c r="G85" s="138"/>
      <c r="H85" s="118"/>
      <c r="I85" s="118"/>
      <c r="J85" s="118"/>
      <c r="K85" s="118"/>
      <c r="L85" s="118"/>
      <c r="M85" s="118"/>
      <c r="N85" s="118"/>
      <c r="O85" s="118"/>
      <c r="P85" s="118"/>
      <c r="Q85" s="118"/>
      <c r="R85" s="118"/>
      <c r="S85" s="118"/>
    </row>
    <row r="86" spans="2:19" x14ac:dyDescent="0.3">
      <c r="E86" s="138"/>
      <c r="F86" s="138"/>
      <c r="G86" s="138"/>
      <c r="H86" s="118"/>
      <c r="I86" s="118"/>
      <c r="J86" s="118"/>
      <c r="K86" s="118"/>
      <c r="L86" s="118"/>
      <c r="M86" s="118"/>
      <c r="N86" s="118"/>
      <c r="O86" s="118"/>
      <c r="P86" s="118"/>
      <c r="Q86" s="118"/>
      <c r="R86" s="118"/>
      <c r="S86" s="118"/>
    </row>
    <row r="87" spans="2:19" x14ac:dyDescent="0.3">
      <c r="B87" s="171" t="s">
        <v>82</v>
      </c>
      <c r="E87" s="138"/>
      <c r="F87" s="138"/>
      <c r="G87" s="138"/>
      <c r="H87" s="144">
        <f>H16</f>
        <v>-2000000</v>
      </c>
      <c r="I87" s="144">
        <f>I16</f>
        <v>-2500000</v>
      </c>
      <c r="J87" s="144">
        <f>J16</f>
        <v>-10000000</v>
      </c>
      <c r="K87" s="144">
        <f>K16</f>
        <v>-2000000</v>
      </c>
      <c r="L87" s="144">
        <f>L16</f>
        <v>-3000000</v>
      </c>
      <c r="M87" s="144">
        <f t="shared" ref="M87:S87" si="50">M16</f>
        <v>-400000</v>
      </c>
      <c r="N87" s="144">
        <f t="shared" si="50"/>
        <v>-100000</v>
      </c>
      <c r="O87" s="144">
        <f t="shared" si="50"/>
        <v>75000</v>
      </c>
      <c r="P87" s="144">
        <f t="shared" si="50"/>
        <v>75000</v>
      </c>
      <c r="Q87" s="144">
        <f t="shared" si="50"/>
        <v>75000</v>
      </c>
      <c r="R87" s="144">
        <f t="shared" si="50"/>
        <v>75000</v>
      </c>
      <c r="S87" s="144">
        <f t="shared" si="50"/>
        <v>40000000</v>
      </c>
    </row>
    <row r="88" spans="2:19" x14ac:dyDescent="0.3">
      <c r="B88" s="172" t="s">
        <v>33</v>
      </c>
      <c r="C88" s="173">
        <f>(IRR(H87:S87,0.01)+1)^12-1</f>
        <v>1.5771137486302456</v>
      </c>
      <c r="D88" s="162"/>
      <c r="E88" s="154"/>
      <c r="F88" s="154"/>
      <c r="G88" s="154"/>
      <c r="H88" s="138"/>
      <c r="I88" s="138"/>
      <c r="J88" s="138"/>
      <c r="K88" s="138"/>
      <c r="L88" s="138"/>
      <c r="M88" s="138"/>
      <c r="N88" s="138"/>
      <c r="O88" s="138"/>
      <c r="P88" s="138"/>
      <c r="Q88" s="138"/>
      <c r="R88" s="138"/>
      <c r="S88" s="138"/>
    </row>
    <row r="89" spans="2:19" x14ac:dyDescent="0.3">
      <c r="B89" s="174" t="s">
        <v>83</v>
      </c>
      <c r="C89" s="280">
        <f>SUM(H87:S87)</f>
        <v>20300000</v>
      </c>
      <c r="D89" s="175"/>
      <c r="E89" s="159"/>
      <c r="F89" s="159"/>
      <c r="G89" s="159"/>
      <c r="H89" s="138"/>
      <c r="I89" s="138"/>
      <c r="J89" s="138"/>
      <c r="K89" s="138"/>
      <c r="L89" s="138"/>
      <c r="M89" s="138"/>
      <c r="N89" s="138"/>
      <c r="O89" s="138"/>
      <c r="P89" s="138"/>
      <c r="Q89" s="138"/>
      <c r="R89" s="138"/>
      <c r="S89" s="138"/>
    </row>
    <row r="90" spans="2:19" x14ac:dyDescent="0.3">
      <c r="B90" s="174" t="s">
        <v>84</v>
      </c>
      <c r="C90" s="280">
        <f>-SUMIF(H87:S87,"&lt;0",H87:S87)</f>
        <v>20000000</v>
      </c>
      <c r="D90" s="175"/>
      <c r="E90" s="159"/>
      <c r="F90" s="159"/>
      <c r="G90" s="159"/>
      <c r="H90" s="138"/>
      <c r="I90" s="138"/>
      <c r="J90" s="138"/>
      <c r="K90" s="138"/>
      <c r="L90" s="138"/>
      <c r="M90" s="138"/>
      <c r="N90" s="138"/>
      <c r="O90" s="138"/>
      <c r="P90" s="138"/>
      <c r="Q90" s="138"/>
      <c r="R90" s="138"/>
      <c r="S90" s="138"/>
    </row>
    <row r="91" spans="2:19" x14ac:dyDescent="0.3">
      <c r="B91" s="176" t="s">
        <v>85</v>
      </c>
      <c r="C91" s="177">
        <f>(C89+C90)/C90</f>
        <v>2.0150000000000001</v>
      </c>
      <c r="D91" s="178"/>
      <c r="E91" s="179"/>
      <c r="F91" s="179"/>
      <c r="G91" s="179"/>
      <c r="H91" s="138"/>
      <c r="I91" s="138"/>
      <c r="J91" s="138"/>
      <c r="K91" s="138"/>
      <c r="L91" s="138"/>
      <c r="M91" s="138"/>
      <c r="N91" s="138"/>
      <c r="O91" s="138"/>
      <c r="P91" s="138"/>
      <c r="Q91" s="138"/>
      <c r="R91" s="138"/>
      <c r="S91" s="138"/>
    </row>
    <row r="92" spans="2:19" x14ac:dyDescent="0.3">
      <c r="E92" s="138"/>
      <c r="F92" s="138"/>
      <c r="G92" s="138"/>
      <c r="H92" s="118"/>
      <c r="I92" s="118"/>
      <c r="J92" s="118"/>
      <c r="K92" s="118"/>
      <c r="L92" s="118"/>
      <c r="M92" s="118"/>
      <c r="N92" s="118"/>
      <c r="O92" s="118"/>
      <c r="P92" s="118"/>
      <c r="Q92" s="118"/>
      <c r="R92" s="118"/>
      <c r="S92" s="118"/>
    </row>
    <row r="93" spans="2:19" x14ac:dyDescent="0.3">
      <c r="B93" s="180" t="s">
        <v>86</v>
      </c>
      <c r="E93" s="138"/>
      <c r="F93" s="138"/>
      <c r="G93" s="138"/>
      <c r="H93" s="144">
        <f t="shared" ref="H93:S93" si="51">+H27+H41+H56+H72+H79</f>
        <v>0</v>
      </c>
      <c r="I93" s="144">
        <f t="shared" si="51"/>
        <v>-2500000</v>
      </c>
      <c r="J93" s="144">
        <f t="shared" si="51"/>
        <v>-10000000</v>
      </c>
      <c r="K93" s="144">
        <f t="shared" si="51"/>
        <v>-2000000</v>
      </c>
      <c r="L93" s="144">
        <f t="shared" si="51"/>
        <v>-3000000</v>
      </c>
      <c r="M93" s="144">
        <f t="shared" si="51"/>
        <v>-400000</v>
      </c>
      <c r="N93" s="144">
        <f t="shared" si="51"/>
        <v>-100000</v>
      </c>
      <c r="O93" s="144">
        <f t="shared" si="51"/>
        <v>67500</v>
      </c>
      <c r="P93" s="144">
        <f t="shared" si="51"/>
        <v>67500</v>
      </c>
      <c r="Q93" s="144">
        <f t="shared" si="51"/>
        <v>67500</v>
      </c>
      <c r="R93" s="144">
        <f t="shared" si="51"/>
        <v>67500</v>
      </c>
      <c r="S93" s="144">
        <f t="shared" si="51"/>
        <v>27332429.228886083</v>
      </c>
    </row>
    <row r="94" spans="2:19" x14ac:dyDescent="0.3">
      <c r="B94" s="172" t="s">
        <v>33</v>
      </c>
      <c r="C94" s="173">
        <f>(IRR(H93:S93,0.01)+1)^12-1</f>
        <v>0.81524025246663512</v>
      </c>
      <c r="D94" s="162"/>
      <c r="E94" s="154"/>
      <c r="F94" s="154"/>
      <c r="G94" s="154"/>
      <c r="H94" s="118"/>
      <c r="I94" s="118"/>
      <c r="J94" s="118"/>
      <c r="K94" s="118"/>
      <c r="L94" s="118"/>
      <c r="M94" s="118"/>
      <c r="N94" s="118"/>
      <c r="O94" s="118"/>
      <c r="P94" s="118"/>
      <c r="Q94" s="118"/>
      <c r="R94" s="118"/>
      <c r="S94" s="118"/>
    </row>
    <row r="95" spans="2:19" x14ac:dyDescent="0.3">
      <c r="B95" s="174" t="s">
        <v>83</v>
      </c>
      <c r="C95" s="280">
        <f>SUM(H93:S93)</f>
        <v>9602429.2288860828</v>
      </c>
      <c r="D95" s="175"/>
      <c r="E95" s="159"/>
      <c r="F95" s="159"/>
      <c r="G95" s="159"/>
      <c r="H95" s="118"/>
      <c r="I95" s="118"/>
      <c r="J95" s="118"/>
      <c r="K95" s="118"/>
      <c r="L95" s="118"/>
      <c r="M95" s="118"/>
      <c r="N95" s="118"/>
      <c r="O95" s="118"/>
      <c r="P95" s="118"/>
      <c r="Q95" s="118"/>
      <c r="R95" s="118"/>
      <c r="S95" s="118"/>
    </row>
    <row r="96" spans="2:19" x14ac:dyDescent="0.3">
      <c r="B96" s="174" t="s">
        <v>84</v>
      </c>
      <c r="C96" s="280">
        <f>-SUMIF(H93:S93,"&lt;0",H93:S93)</f>
        <v>18000000</v>
      </c>
      <c r="D96" s="175"/>
      <c r="E96" s="159"/>
      <c r="F96" s="159"/>
      <c r="G96" s="159"/>
      <c r="H96" s="118"/>
      <c r="I96" s="118"/>
      <c r="J96" s="118"/>
      <c r="K96" s="118"/>
      <c r="L96" s="118"/>
      <c r="M96" s="118"/>
      <c r="N96" s="118"/>
      <c r="O96" s="118"/>
      <c r="P96" s="118"/>
      <c r="Q96" s="118"/>
      <c r="R96" s="118"/>
      <c r="S96" s="118"/>
    </row>
    <row r="97" spans="2:19" x14ac:dyDescent="0.3">
      <c r="B97" s="176" t="s">
        <v>85</v>
      </c>
      <c r="C97" s="177">
        <f>(C95+C96)/C96</f>
        <v>1.5334682904936712</v>
      </c>
      <c r="D97" s="178"/>
      <c r="E97" s="179"/>
      <c r="F97" s="179"/>
      <c r="G97" s="179"/>
      <c r="H97" s="118"/>
      <c r="I97" s="118"/>
      <c r="J97" s="118"/>
      <c r="K97" s="118"/>
      <c r="L97" s="118"/>
      <c r="M97" s="118"/>
      <c r="N97" s="118"/>
      <c r="O97" s="118"/>
      <c r="P97" s="118"/>
      <c r="Q97" s="118"/>
      <c r="R97" s="118"/>
      <c r="S97" s="118"/>
    </row>
    <row r="98" spans="2:19" x14ac:dyDescent="0.3">
      <c r="E98" s="138"/>
      <c r="F98" s="138"/>
      <c r="G98" s="138"/>
      <c r="H98" s="118"/>
      <c r="I98" s="118"/>
      <c r="J98" s="118"/>
      <c r="K98" s="118"/>
      <c r="L98" s="118"/>
      <c r="M98" s="118"/>
      <c r="N98" s="118"/>
      <c r="O98" s="118"/>
      <c r="P98" s="118"/>
      <c r="Q98" s="118"/>
      <c r="R98" s="118"/>
      <c r="S98" s="118"/>
    </row>
    <row r="99" spans="2:19" x14ac:dyDescent="0.3">
      <c r="B99" s="180" t="s">
        <v>202</v>
      </c>
      <c r="E99" s="137"/>
      <c r="F99" s="138"/>
      <c r="G99" s="138"/>
      <c r="H99" s="118"/>
      <c r="I99" s="118"/>
      <c r="J99" s="118"/>
      <c r="K99" s="118"/>
      <c r="L99" s="118"/>
      <c r="M99" s="118"/>
      <c r="N99" s="118"/>
      <c r="O99" s="118"/>
      <c r="P99" s="118"/>
      <c r="Q99" s="118"/>
      <c r="R99" s="118"/>
      <c r="S99" s="118"/>
    </row>
    <row r="100" spans="2:19" x14ac:dyDescent="0.3">
      <c r="B100" s="181" t="s">
        <v>130</v>
      </c>
      <c r="C100" s="281">
        <f>SUM(H100:S100)</f>
        <v>-2000000</v>
      </c>
      <c r="D100" s="182"/>
      <c r="E100" s="154"/>
      <c r="F100" s="157"/>
      <c r="G100" s="138"/>
      <c r="H100" s="118">
        <f>H14+H22</f>
        <v>-2000000</v>
      </c>
      <c r="I100" s="118">
        <f t="shared" ref="I100:S100" si="52">I14+I22</f>
        <v>0</v>
      </c>
      <c r="J100" s="118">
        <f t="shared" si="52"/>
        <v>0</v>
      </c>
      <c r="K100" s="118">
        <f t="shared" si="52"/>
        <v>0</v>
      </c>
      <c r="L100" s="118">
        <f t="shared" si="52"/>
        <v>0</v>
      </c>
      <c r="M100" s="118">
        <f t="shared" si="52"/>
        <v>0</v>
      </c>
      <c r="N100" s="118">
        <f t="shared" si="52"/>
        <v>0</v>
      </c>
      <c r="O100" s="118">
        <f t="shared" si="52"/>
        <v>0</v>
      </c>
      <c r="P100" s="118">
        <f t="shared" si="52"/>
        <v>0</v>
      </c>
      <c r="Q100" s="118">
        <f t="shared" si="52"/>
        <v>0</v>
      </c>
      <c r="R100" s="118">
        <f t="shared" si="52"/>
        <v>0</v>
      </c>
      <c r="S100" s="118">
        <f t="shared" si="52"/>
        <v>0</v>
      </c>
    </row>
    <row r="101" spans="2:19" x14ac:dyDescent="0.3">
      <c r="B101" s="183" t="s">
        <v>203</v>
      </c>
      <c r="C101" s="282">
        <f>SUM(H101:S101)</f>
        <v>4030000</v>
      </c>
      <c r="D101" s="182"/>
      <c r="E101" s="154"/>
      <c r="F101" s="157"/>
      <c r="G101" s="138"/>
      <c r="H101" s="118">
        <f t="shared" ref="H101:S101" si="53">+H28+H42+H57+H73+H80</f>
        <v>0</v>
      </c>
      <c r="I101" s="118">
        <f t="shared" si="53"/>
        <v>0</v>
      </c>
      <c r="J101" s="118">
        <f t="shared" si="53"/>
        <v>0</v>
      </c>
      <c r="K101" s="118">
        <f t="shared" si="53"/>
        <v>0</v>
      </c>
      <c r="L101" s="118">
        <f t="shared" si="53"/>
        <v>0</v>
      </c>
      <c r="M101" s="118">
        <f t="shared" si="53"/>
        <v>0</v>
      </c>
      <c r="N101" s="118">
        <f t="shared" si="53"/>
        <v>0</v>
      </c>
      <c r="O101" s="118">
        <f t="shared" si="53"/>
        <v>7500</v>
      </c>
      <c r="P101" s="118">
        <f t="shared" si="53"/>
        <v>7500</v>
      </c>
      <c r="Q101" s="118">
        <f t="shared" si="53"/>
        <v>7500</v>
      </c>
      <c r="R101" s="118">
        <f t="shared" si="53"/>
        <v>7500</v>
      </c>
      <c r="S101" s="118">
        <f t="shared" si="53"/>
        <v>4000000</v>
      </c>
    </row>
    <row r="102" spans="2:19" ht="14.5" x14ac:dyDescent="0.45">
      <c r="B102" s="183" t="s">
        <v>204</v>
      </c>
      <c r="C102" s="283">
        <f>SUM(H102:S102)</f>
        <v>8667570.7711139191</v>
      </c>
      <c r="D102" s="182"/>
      <c r="E102" s="154"/>
      <c r="F102" s="157"/>
      <c r="G102" s="141"/>
      <c r="H102" s="142">
        <f t="shared" ref="H102:S102" si="54">+H29+H43+H58+H74+H81</f>
        <v>0</v>
      </c>
      <c r="I102" s="142">
        <f t="shared" si="54"/>
        <v>0</v>
      </c>
      <c r="J102" s="142">
        <f t="shared" si="54"/>
        <v>0</v>
      </c>
      <c r="K102" s="142">
        <f t="shared" si="54"/>
        <v>0</v>
      </c>
      <c r="L102" s="142">
        <f t="shared" si="54"/>
        <v>0</v>
      </c>
      <c r="M102" s="142">
        <f t="shared" si="54"/>
        <v>0</v>
      </c>
      <c r="N102" s="142">
        <f t="shared" si="54"/>
        <v>0</v>
      </c>
      <c r="O102" s="142">
        <f t="shared" si="54"/>
        <v>0</v>
      </c>
      <c r="P102" s="142">
        <f t="shared" si="54"/>
        <v>0</v>
      </c>
      <c r="Q102" s="142">
        <f t="shared" si="54"/>
        <v>0</v>
      </c>
      <c r="R102" s="142">
        <f t="shared" si="54"/>
        <v>0</v>
      </c>
      <c r="S102" s="142">
        <f t="shared" si="54"/>
        <v>8667570.7711139191</v>
      </c>
    </row>
    <row r="103" spans="2:19" x14ac:dyDescent="0.3">
      <c r="B103" s="174" t="s">
        <v>87</v>
      </c>
      <c r="C103" s="284">
        <f>SUM(H103:S103)</f>
        <v>10697570.771113919</v>
      </c>
      <c r="D103" s="182"/>
      <c r="E103" s="154"/>
      <c r="F103" s="154"/>
      <c r="G103" s="137"/>
      <c r="H103" s="144">
        <f>SUM(H100:H102)</f>
        <v>-2000000</v>
      </c>
      <c r="I103" s="144">
        <f>SUM(I100:I102)</f>
        <v>0</v>
      </c>
      <c r="J103" s="144">
        <f>SUM(J100:J102)</f>
        <v>0</v>
      </c>
      <c r="K103" s="144">
        <f>SUM(K100:K102)</f>
        <v>0</v>
      </c>
      <c r="L103" s="144">
        <f>SUM(L100:L102)</f>
        <v>0</v>
      </c>
      <c r="M103" s="144">
        <f t="shared" ref="M103:S103" si="55">SUM(M100:M102)</f>
        <v>0</v>
      </c>
      <c r="N103" s="144">
        <f t="shared" si="55"/>
        <v>0</v>
      </c>
      <c r="O103" s="144">
        <f t="shared" si="55"/>
        <v>7500</v>
      </c>
      <c r="P103" s="144">
        <f t="shared" si="55"/>
        <v>7500</v>
      </c>
      <c r="Q103" s="144">
        <f t="shared" si="55"/>
        <v>7500</v>
      </c>
      <c r="R103" s="144">
        <f t="shared" si="55"/>
        <v>7500</v>
      </c>
      <c r="S103" s="144">
        <f t="shared" si="55"/>
        <v>12667570.771113919</v>
      </c>
    </row>
    <row r="104" spans="2:19" x14ac:dyDescent="0.3">
      <c r="B104" s="174"/>
      <c r="C104" s="184"/>
      <c r="D104" s="182"/>
      <c r="E104" s="138"/>
      <c r="F104" s="138"/>
      <c r="G104" s="138"/>
      <c r="H104" s="144"/>
      <c r="I104" s="144"/>
      <c r="J104" s="144"/>
      <c r="K104" s="144"/>
      <c r="L104" s="144"/>
      <c r="M104" s="144"/>
      <c r="N104" s="144"/>
      <c r="O104" s="144"/>
      <c r="P104" s="144"/>
      <c r="Q104" s="144"/>
      <c r="R104" s="144"/>
      <c r="S104" s="144"/>
    </row>
    <row r="105" spans="2:19" x14ac:dyDescent="0.3">
      <c r="B105" s="174" t="s">
        <v>33</v>
      </c>
      <c r="C105" s="185">
        <f>IF(C5=0,"NA",(IRR(H103:S103,0.01)+1)^12-1)</f>
        <v>6.5210288771287166</v>
      </c>
      <c r="D105" s="186"/>
      <c r="E105" s="154"/>
      <c r="F105" s="154"/>
      <c r="G105" s="154"/>
      <c r="H105" s="118"/>
      <c r="I105" s="118"/>
      <c r="J105" s="118"/>
      <c r="K105" s="118"/>
      <c r="L105" s="118"/>
      <c r="M105" s="118"/>
      <c r="N105" s="118"/>
      <c r="O105" s="118"/>
      <c r="P105" s="118"/>
      <c r="Q105" s="118"/>
      <c r="R105" s="118"/>
      <c r="S105" s="118"/>
    </row>
    <row r="106" spans="2:19" x14ac:dyDescent="0.3">
      <c r="B106" s="174" t="s">
        <v>84</v>
      </c>
      <c r="C106" s="285">
        <f>IF(C5=0,"NA",-SUMIF(H103:S103,"&lt;0",H103:S103))</f>
        <v>2000000</v>
      </c>
      <c r="D106" s="187"/>
      <c r="E106" s="159"/>
      <c r="F106" s="159"/>
      <c r="G106" s="159"/>
      <c r="H106" s="118"/>
      <c r="I106" s="118"/>
      <c r="J106" s="118"/>
      <c r="K106" s="118"/>
      <c r="L106" s="118"/>
      <c r="M106" s="118"/>
      <c r="N106" s="118"/>
      <c r="O106" s="118"/>
      <c r="P106" s="118"/>
      <c r="Q106" s="118"/>
      <c r="R106" s="118"/>
      <c r="S106" s="118"/>
    </row>
    <row r="107" spans="2:19" x14ac:dyDescent="0.3">
      <c r="B107" s="176" t="s">
        <v>85</v>
      </c>
      <c r="C107" s="177">
        <f>(C103+C106)/C106</f>
        <v>6.3487853855569591</v>
      </c>
      <c r="D107" s="178"/>
      <c r="E107" s="179"/>
      <c r="F107" s="179"/>
      <c r="G107" s="179"/>
      <c r="H107" s="118"/>
      <c r="I107" s="118"/>
      <c r="J107" s="118"/>
      <c r="K107" s="118"/>
      <c r="L107" s="118"/>
      <c r="M107" s="118"/>
      <c r="N107" s="118"/>
      <c r="O107" s="118"/>
      <c r="P107" s="118"/>
      <c r="Q107" s="118"/>
      <c r="R107" s="118"/>
      <c r="S107" s="118"/>
    </row>
    <row r="108" spans="2:19" ht="13.5" thickBot="1" x14ac:dyDescent="0.35">
      <c r="H108" s="188"/>
      <c r="I108" s="188"/>
      <c r="J108" s="188"/>
      <c r="K108" s="188"/>
      <c r="L108" s="188"/>
      <c r="M108" s="188"/>
      <c r="N108" s="188"/>
      <c r="O108" s="188"/>
      <c r="P108" s="188"/>
      <c r="Q108" s="188"/>
      <c r="R108" s="188"/>
      <c r="S108" s="188"/>
    </row>
    <row r="109" spans="2:19" x14ac:dyDescent="0.3">
      <c r="B109" s="189" t="s">
        <v>88</v>
      </c>
      <c r="C109" s="190">
        <f>+SUM(H16:S16)-C95-C103</f>
        <v>0</v>
      </c>
      <c r="D109" s="191"/>
      <c r="E109" s="192"/>
      <c r="F109" s="192"/>
      <c r="G109" s="192"/>
    </row>
    <row r="110" spans="2:19" ht="13.5" thickBot="1" x14ac:dyDescent="0.35">
      <c r="B110" s="193" t="s">
        <v>89</v>
      </c>
      <c r="C110" s="194"/>
      <c r="D110" s="195"/>
      <c r="E110" s="196"/>
      <c r="F110" s="196"/>
      <c r="G110" s="196"/>
    </row>
    <row r="111" spans="2:19" x14ac:dyDescent="0.3">
      <c r="B111" s="197"/>
      <c r="C111" s="195"/>
      <c r="D111" s="195"/>
      <c r="E111" s="196"/>
      <c r="F111" s="196"/>
      <c r="G111" s="196"/>
    </row>
    <row r="112" spans="2:19" x14ac:dyDescent="0.3">
      <c r="B112" s="130" t="s">
        <v>90</v>
      </c>
      <c r="F112" s="198"/>
      <c r="G112" s="198"/>
    </row>
    <row r="113" spans="2:19" ht="17.25" customHeight="1" x14ac:dyDescent="0.3">
      <c r="B113" s="130"/>
      <c r="C113" s="199" t="s">
        <v>50</v>
      </c>
      <c r="D113" s="199"/>
      <c r="E113" s="199" t="s">
        <v>91</v>
      </c>
      <c r="F113" s="198"/>
      <c r="G113" s="198"/>
    </row>
    <row r="114" spans="2:19" x14ac:dyDescent="0.3">
      <c r="B114" s="198" t="s">
        <v>57</v>
      </c>
      <c r="C114" s="200">
        <f>D20</f>
        <v>0.1</v>
      </c>
      <c r="D114" s="200"/>
      <c r="E114" s="201">
        <f>(IRR(H114:S114,0.01)+1)^12-1</f>
        <v>9.9999999999997202E-2</v>
      </c>
      <c r="F114" s="135"/>
      <c r="G114" s="135"/>
      <c r="H114" s="138">
        <f t="shared" ref="H114:S114" si="56">-(H22+H24)</f>
        <v>0</v>
      </c>
      <c r="I114" s="138">
        <f t="shared" si="56"/>
        <v>-2500000</v>
      </c>
      <c r="J114" s="138">
        <f t="shared" si="56"/>
        <v>-10000000</v>
      </c>
      <c r="K114" s="138">
        <f t="shared" si="56"/>
        <v>-2000000</v>
      </c>
      <c r="L114" s="138">
        <f t="shared" si="56"/>
        <v>-3000000</v>
      </c>
      <c r="M114" s="138">
        <f t="shared" si="56"/>
        <v>-400000</v>
      </c>
      <c r="N114" s="138">
        <f t="shared" si="56"/>
        <v>-100000</v>
      </c>
      <c r="O114" s="138">
        <f t="shared" si="56"/>
        <v>67500</v>
      </c>
      <c r="P114" s="138">
        <f t="shared" si="56"/>
        <v>67500</v>
      </c>
      <c r="Q114" s="138">
        <f t="shared" si="56"/>
        <v>67500</v>
      </c>
      <c r="R114" s="138">
        <f t="shared" si="56"/>
        <v>67500</v>
      </c>
      <c r="S114" s="138">
        <f t="shared" si="56"/>
        <v>18998526.416913908</v>
      </c>
    </row>
    <row r="115" spans="2:19" x14ac:dyDescent="0.3">
      <c r="B115" s="198" t="s">
        <v>65</v>
      </c>
      <c r="C115" s="200">
        <f>D33</f>
        <v>0.15</v>
      </c>
      <c r="D115" s="200"/>
      <c r="E115" s="201">
        <f>(IRR(H115:S115,0.01)+1)^12-1</f>
        <v>0.15000000000000147</v>
      </c>
      <c r="F115" s="135"/>
      <c r="G115" s="135"/>
      <c r="H115" s="138">
        <f>-(H35+H37+H38)</f>
        <v>0</v>
      </c>
      <c r="I115" s="138">
        <f>-(I35+I37+I38)</f>
        <v>-2500000</v>
      </c>
      <c r="J115" s="138">
        <f>-(J35+J37+J38)</f>
        <v>-10000000</v>
      </c>
      <c r="K115" s="138">
        <f>-(K35+K37+K38)</f>
        <v>-2000000</v>
      </c>
      <c r="L115" s="138">
        <f>-(L35+L37+L38)</f>
        <v>-3000000</v>
      </c>
      <c r="M115" s="138">
        <f t="shared" ref="M115:S115" si="57">-(M35+M37+M38)</f>
        <v>-400000</v>
      </c>
      <c r="N115" s="138">
        <f t="shared" si="57"/>
        <v>-100000</v>
      </c>
      <c r="O115" s="138">
        <f t="shared" si="57"/>
        <v>67500</v>
      </c>
      <c r="P115" s="138">
        <f t="shared" si="57"/>
        <v>67500</v>
      </c>
      <c r="Q115" s="138">
        <f t="shared" si="57"/>
        <v>67500</v>
      </c>
      <c r="R115" s="138">
        <f t="shared" si="57"/>
        <v>67500</v>
      </c>
      <c r="S115" s="138">
        <f t="shared" si="57"/>
        <v>19621012.588402443</v>
      </c>
    </row>
    <row r="116" spans="2:19" x14ac:dyDescent="0.3">
      <c r="B116" s="198" t="s">
        <v>79</v>
      </c>
      <c r="C116" s="200">
        <f>D47</f>
        <v>0.2</v>
      </c>
      <c r="D116" s="200"/>
      <c r="E116" s="201">
        <f>(IRR(H116:S116,0.01)+1)^12-1</f>
        <v>0.19999999999999662</v>
      </c>
      <c r="F116" s="286"/>
      <c r="G116" s="286"/>
      <c r="H116" s="138">
        <f>-(H49+H51+H52+H53)</f>
        <v>0</v>
      </c>
      <c r="I116" s="138">
        <f>-(I49+I51+I52+I53)</f>
        <v>-2500000</v>
      </c>
      <c r="J116" s="138">
        <f>-(J49+J51+J52+J53)</f>
        <v>-10000000</v>
      </c>
      <c r="K116" s="138">
        <f>-(K49+K51+K52+K53)</f>
        <v>-2000000</v>
      </c>
      <c r="L116" s="138">
        <f>-(L49+L51+L52+L53)</f>
        <v>-3000000</v>
      </c>
      <c r="M116" s="138">
        <f t="shared" ref="M116:S116" si="58">-(M49+M51+M52+M53)</f>
        <v>-400000</v>
      </c>
      <c r="N116" s="138">
        <f t="shared" si="58"/>
        <v>-100000</v>
      </c>
      <c r="O116" s="138">
        <f t="shared" si="58"/>
        <v>67500</v>
      </c>
      <c r="P116" s="138">
        <f t="shared" si="58"/>
        <v>67500</v>
      </c>
      <c r="Q116" s="138">
        <f t="shared" si="58"/>
        <v>67500</v>
      </c>
      <c r="R116" s="138">
        <f t="shared" si="58"/>
        <v>67500</v>
      </c>
      <c r="S116" s="138">
        <f t="shared" si="58"/>
        <v>20236235.184328884</v>
      </c>
    </row>
    <row r="117" spans="2:19" x14ac:dyDescent="0.3">
      <c r="B117" s="198" t="s">
        <v>113</v>
      </c>
      <c r="C117" s="200">
        <f>D62</f>
        <v>0.25</v>
      </c>
      <c r="D117" s="200"/>
      <c r="E117" s="201">
        <f>(IRR(H117:S117,0.01)+1)^12-1</f>
        <v>0.25000000000000155</v>
      </c>
      <c r="F117" s="135"/>
      <c r="G117" s="135"/>
      <c r="H117" s="138">
        <f>-(H64+H66+H67+H68+H69)</f>
        <v>0</v>
      </c>
      <c r="I117" s="138">
        <f>-(I64+I66+I67+I68+I69)</f>
        <v>-2500000</v>
      </c>
      <c r="J117" s="138">
        <f>-(J64+J66+J67+J68+J69)</f>
        <v>-10000000</v>
      </c>
      <c r="K117" s="138">
        <f>-(K64+K66+K67+K68+K69)</f>
        <v>-2000000</v>
      </c>
      <c r="L117" s="138">
        <f>-(L64+L66+L67+L68+L69)</f>
        <v>-3000000</v>
      </c>
      <c r="M117" s="138">
        <f t="shared" ref="M117:S117" si="59">-(M64+M66+M67+M68+M69)</f>
        <v>-400000</v>
      </c>
      <c r="N117" s="138">
        <f t="shared" si="59"/>
        <v>-100000</v>
      </c>
      <c r="O117" s="138">
        <f t="shared" si="59"/>
        <v>67500</v>
      </c>
      <c r="P117" s="138">
        <f t="shared" si="59"/>
        <v>67500</v>
      </c>
      <c r="Q117" s="138">
        <f t="shared" si="59"/>
        <v>67500</v>
      </c>
      <c r="R117" s="138">
        <f t="shared" si="59"/>
        <v>67500</v>
      </c>
      <c r="S117" s="138">
        <f t="shared" si="59"/>
        <v>20844582.438420959</v>
      </c>
    </row>
    <row r="118" spans="2:19" x14ac:dyDescent="0.3">
      <c r="E118" s="135"/>
      <c r="F118" s="135"/>
      <c r="G118" s="135"/>
      <c r="H118" s="135"/>
      <c r="I118" s="135"/>
      <c r="J118" s="135"/>
    </row>
    <row r="119" spans="2:19" x14ac:dyDescent="0.3">
      <c r="B119" s="202"/>
    </row>
  </sheetData>
  <mergeCells count="2">
    <mergeCell ref="J4:M4"/>
    <mergeCell ref="B10:D10"/>
  </mergeCells>
  <pageMargins left="0.34" right="0.31" top="0.3" bottom="0.42" header="0.25" footer="0.24"/>
  <pageSetup paperSize="5" scale="66" firstPageNumber="14" fitToHeight="2" orientation="landscape" useFirstPageNumber="1" horizontalDpi="1200" verticalDpi="1200" r:id="rId1"/>
  <headerFooter alignWithMargins="0">
    <oddFooter>&amp;L&amp;"Garamond,Regular"&amp;12Copyright 2009 Real Estate Financial Modeling, LLC. All rights reserved.&amp;R&amp;"Garamond,Regular"&amp;12Tab: &amp;A</oddFooter>
  </headerFooter>
  <rowBreaks count="1" manualBreakCount="1">
    <brk id="60" min="1" max="18"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FN119"/>
  <sheetViews>
    <sheetView zoomScale="110" zoomScaleNormal="110" zoomScaleSheetLayoutView="100" workbookViewId="0"/>
  </sheetViews>
  <sheetFormatPr defaultColWidth="9" defaultRowHeight="13" x14ac:dyDescent="0.3"/>
  <cols>
    <col min="1" max="1" width="13.84375" style="117" customWidth="1"/>
    <col min="2" max="2" width="27.15234375" style="117" customWidth="1"/>
    <col min="3" max="3" width="15.15234375" style="117" customWidth="1"/>
    <col min="4" max="4" width="7.61328125" style="117" customWidth="1"/>
    <col min="5" max="5" width="16.3828125" style="117" customWidth="1"/>
    <col min="6" max="6" width="2.3828125" style="117" customWidth="1"/>
    <col min="7" max="7" width="3.3828125" style="117" customWidth="1"/>
    <col min="8" max="8" width="13.23046875" style="117" customWidth="1" collapsed="1"/>
    <col min="9" max="19" width="13.23046875" style="117" customWidth="1"/>
    <col min="20" max="20" width="9" style="117"/>
    <col min="21" max="21" width="9.23046875" style="117" bestFit="1" customWidth="1"/>
    <col min="22" max="16384" width="9" style="117"/>
  </cols>
  <sheetData>
    <row r="1" spans="2:19" ht="33" customHeight="1" x14ac:dyDescent="0.4">
      <c r="B1" s="119" t="s">
        <v>156</v>
      </c>
    </row>
    <row r="2" spans="2:19" ht="17" x14ac:dyDescent="0.4">
      <c r="B2" s="120" t="s">
        <v>220</v>
      </c>
      <c r="N2" s="248"/>
      <c r="O2" s="248"/>
    </row>
    <row r="3" spans="2:19" ht="16" thickBot="1" x14ac:dyDescent="0.4">
      <c r="B3" s="121"/>
      <c r="I3" s="249" t="s">
        <v>115</v>
      </c>
      <c r="N3" s="248"/>
      <c r="O3" s="248"/>
    </row>
    <row r="4" spans="2:19" ht="28.5" customHeight="1" x14ac:dyDescent="0.45">
      <c r="B4" s="122" t="s">
        <v>73</v>
      </c>
      <c r="C4" s="123" t="s">
        <v>74</v>
      </c>
      <c r="D4" s="123"/>
      <c r="E4" s="123" t="s">
        <v>75</v>
      </c>
      <c r="F4" s="124"/>
      <c r="G4" s="124"/>
      <c r="H4" s="124"/>
      <c r="I4" s="250"/>
      <c r="J4" s="444" t="s">
        <v>116</v>
      </c>
      <c r="K4" s="444"/>
      <c r="L4" s="444"/>
      <c r="M4" s="444"/>
      <c r="N4" s="251" t="s">
        <v>119</v>
      </c>
      <c r="O4" s="252" t="s">
        <v>9</v>
      </c>
      <c r="P4" s="251" t="s">
        <v>193</v>
      </c>
      <c r="Q4" s="251" t="s">
        <v>108</v>
      </c>
      <c r="R4" s="253" t="s">
        <v>109</v>
      </c>
    </row>
    <row r="5" spans="2:19" x14ac:dyDescent="0.3">
      <c r="B5" s="125" t="s">
        <v>221</v>
      </c>
      <c r="C5" s="254">
        <f>E5/E7</f>
        <v>0.1</v>
      </c>
      <c r="D5" s="126"/>
      <c r="E5" s="255">
        <v>2000000</v>
      </c>
      <c r="F5" s="127"/>
      <c r="G5" s="127"/>
      <c r="H5" s="127"/>
      <c r="I5" s="256" t="s">
        <v>57</v>
      </c>
      <c r="J5" s="257" t="s">
        <v>110</v>
      </c>
      <c r="K5" s="258">
        <v>0</v>
      </c>
      <c r="L5" s="259" t="s">
        <v>111</v>
      </c>
      <c r="M5" s="260">
        <v>0.1</v>
      </c>
      <c r="N5" s="261">
        <f>$C$5</f>
        <v>0.1</v>
      </c>
      <c r="O5" s="262">
        <v>0</v>
      </c>
      <c r="P5" s="261">
        <f>SUM(N5:O5)</f>
        <v>0.1</v>
      </c>
      <c r="Q5" s="261">
        <f>1-P5</f>
        <v>0.9</v>
      </c>
      <c r="R5" s="263">
        <f>SUM(P5:Q5)</f>
        <v>1</v>
      </c>
    </row>
    <row r="6" spans="2:19" x14ac:dyDescent="0.3">
      <c r="B6" s="128" t="s">
        <v>76</v>
      </c>
      <c r="C6" s="264">
        <f>1-C5</f>
        <v>0.9</v>
      </c>
      <c r="D6" s="129"/>
      <c r="E6" s="265">
        <v>18000000</v>
      </c>
      <c r="F6" s="127"/>
      <c r="G6" s="127"/>
      <c r="H6" s="127"/>
      <c r="I6" s="256" t="s">
        <v>65</v>
      </c>
      <c r="J6" s="257" t="s">
        <v>112</v>
      </c>
      <c r="K6" s="258">
        <f>M5</f>
        <v>0.1</v>
      </c>
      <c r="L6" s="259" t="s">
        <v>111</v>
      </c>
      <c r="M6" s="260">
        <v>0.15</v>
      </c>
      <c r="N6" s="261">
        <f>$C$5</f>
        <v>0.1</v>
      </c>
      <c r="O6" s="262">
        <v>0.1</v>
      </c>
      <c r="P6" s="261">
        <f>SUM(N6:O6)</f>
        <v>0.2</v>
      </c>
      <c r="Q6" s="261">
        <f>1-P6</f>
        <v>0.8</v>
      </c>
      <c r="R6" s="263">
        <f>SUM(P6:Q6)</f>
        <v>1</v>
      </c>
    </row>
    <row r="7" spans="2:19" x14ac:dyDescent="0.3">
      <c r="B7" s="130" t="s">
        <v>77</v>
      </c>
      <c r="C7" s="131">
        <f>SUM(C5:C6)</f>
        <v>1</v>
      </c>
      <c r="D7" s="132"/>
      <c r="E7" s="133">
        <f>SUM(E5:E6)</f>
        <v>20000000</v>
      </c>
      <c r="F7" s="127"/>
      <c r="G7" s="127"/>
      <c r="H7" s="127"/>
      <c r="I7" s="256" t="s">
        <v>79</v>
      </c>
      <c r="J7" s="257" t="s">
        <v>112</v>
      </c>
      <c r="K7" s="258">
        <f>M6</f>
        <v>0.15</v>
      </c>
      <c r="L7" s="259" t="s">
        <v>111</v>
      </c>
      <c r="M7" s="260">
        <v>0.2</v>
      </c>
      <c r="N7" s="261">
        <f>$C$5</f>
        <v>0.1</v>
      </c>
      <c r="O7" s="262">
        <v>0.2</v>
      </c>
      <c r="P7" s="261">
        <f>SUM(N7:O7)</f>
        <v>0.30000000000000004</v>
      </c>
      <c r="Q7" s="261">
        <f>1-P7</f>
        <v>0.7</v>
      </c>
      <c r="R7" s="263">
        <f>SUM(P7:Q7)</f>
        <v>1</v>
      </c>
    </row>
    <row r="8" spans="2:19" x14ac:dyDescent="0.3">
      <c r="F8" s="127"/>
      <c r="G8" s="127"/>
      <c r="H8" s="127"/>
      <c r="I8" s="256" t="s">
        <v>113</v>
      </c>
      <c r="J8" s="257" t="s">
        <v>112</v>
      </c>
      <c r="K8" s="258">
        <f>M7</f>
        <v>0.2</v>
      </c>
      <c r="L8" s="259" t="s">
        <v>111</v>
      </c>
      <c r="M8" s="260">
        <v>0.25</v>
      </c>
      <c r="N8" s="261">
        <f>$C$5</f>
        <v>0.1</v>
      </c>
      <c r="O8" s="262">
        <v>0.3</v>
      </c>
      <c r="P8" s="261">
        <f>SUM(N8:O8)</f>
        <v>0.4</v>
      </c>
      <c r="Q8" s="261">
        <f>1-P8</f>
        <v>0.6</v>
      </c>
      <c r="R8" s="263">
        <f>SUM(P8:Q8)</f>
        <v>1</v>
      </c>
    </row>
    <row r="9" spans="2:19" ht="13.5" thickBot="1" x14ac:dyDescent="0.35">
      <c r="B9" s="117" t="s">
        <v>78</v>
      </c>
      <c r="F9" s="127"/>
      <c r="G9" s="127"/>
      <c r="H9" s="127"/>
      <c r="I9" s="266" t="s">
        <v>114</v>
      </c>
      <c r="J9" s="267"/>
      <c r="K9" s="267"/>
      <c r="L9" s="268" t="s">
        <v>112</v>
      </c>
      <c r="M9" s="269">
        <v>0.25</v>
      </c>
      <c r="N9" s="270">
        <f>$C$5</f>
        <v>0.1</v>
      </c>
      <c r="O9" s="271">
        <v>0.5</v>
      </c>
      <c r="P9" s="270">
        <f>SUM(N9:O9)</f>
        <v>0.6</v>
      </c>
      <c r="Q9" s="270">
        <f>1-P9</f>
        <v>0.4</v>
      </c>
      <c r="R9" s="272">
        <f>SUM(P9:Q9)</f>
        <v>1</v>
      </c>
    </row>
    <row r="10" spans="2:19" ht="127.5" customHeight="1" x14ac:dyDescent="0.3">
      <c r="B10" s="445" t="s">
        <v>222</v>
      </c>
      <c r="C10" s="445"/>
      <c r="D10" s="445"/>
      <c r="E10" s="397"/>
      <c r="F10" s="397"/>
      <c r="N10" s="248"/>
      <c r="O10" s="248"/>
    </row>
    <row r="11" spans="2:19" x14ac:dyDescent="0.3">
      <c r="E11" s="273" t="s">
        <v>67</v>
      </c>
      <c r="F11" s="134"/>
      <c r="G11" s="134"/>
      <c r="H11" s="134"/>
      <c r="I11" s="134"/>
      <c r="J11" s="134"/>
      <c r="K11" s="274"/>
      <c r="L11" s="274"/>
      <c r="M11" s="274"/>
      <c r="N11" s="274"/>
      <c r="O11" s="274"/>
      <c r="P11" s="274"/>
      <c r="Q11" s="274"/>
      <c r="R11" s="274"/>
      <c r="S11" s="274"/>
    </row>
    <row r="12" spans="2:19" x14ac:dyDescent="0.3">
      <c r="C12" s="135"/>
      <c r="D12" s="135"/>
      <c r="E12" s="135"/>
      <c r="F12" s="135"/>
      <c r="G12" s="135"/>
      <c r="H12" s="275">
        <v>40574</v>
      </c>
      <c r="I12" s="275">
        <f>EOMONTH(H12,1)</f>
        <v>40602</v>
      </c>
      <c r="J12" s="275">
        <f t="shared" ref="J12:S12" si="0">EOMONTH(I12,1)</f>
        <v>40633</v>
      </c>
      <c r="K12" s="275">
        <f t="shared" si="0"/>
        <v>40663</v>
      </c>
      <c r="L12" s="275">
        <f t="shared" si="0"/>
        <v>40694</v>
      </c>
      <c r="M12" s="275">
        <f t="shared" si="0"/>
        <v>40724</v>
      </c>
      <c r="N12" s="275">
        <f t="shared" si="0"/>
        <v>40755</v>
      </c>
      <c r="O12" s="275">
        <f t="shared" si="0"/>
        <v>40786</v>
      </c>
      <c r="P12" s="275">
        <f t="shared" si="0"/>
        <v>40816</v>
      </c>
      <c r="Q12" s="275">
        <f t="shared" si="0"/>
        <v>40847</v>
      </c>
      <c r="R12" s="275">
        <f t="shared" si="0"/>
        <v>40877</v>
      </c>
      <c r="S12" s="275">
        <f t="shared" si="0"/>
        <v>40908</v>
      </c>
    </row>
    <row r="13" spans="2:19" x14ac:dyDescent="0.3">
      <c r="B13" s="136"/>
      <c r="O13" s="248"/>
    </row>
    <row r="14" spans="2:19" x14ac:dyDescent="0.3">
      <c r="B14" s="117" t="s">
        <v>68</v>
      </c>
      <c r="E14" s="137">
        <f>SUM(H14:S14)</f>
        <v>-20000000</v>
      </c>
      <c r="F14" s="138"/>
      <c r="G14" s="138"/>
      <c r="H14" s="118">
        <f>IF(H16&lt;0,H16,0)</f>
        <v>-2000000</v>
      </c>
      <c r="I14" s="118">
        <f t="shared" ref="I14:S14" si="1">IF(I16&lt;0,I16,0)</f>
        <v>-2500000</v>
      </c>
      <c r="J14" s="118">
        <f t="shared" si="1"/>
        <v>-10000000</v>
      </c>
      <c r="K14" s="118">
        <v>-2000000</v>
      </c>
      <c r="L14" s="118">
        <v>-3000000</v>
      </c>
      <c r="M14" s="118">
        <v>-400000</v>
      </c>
      <c r="N14" s="118">
        <f t="shared" si="1"/>
        <v>-100000</v>
      </c>
      <c r="O14" s="118">
        <f t="shared" si="1"/>
        <v>0</v>
      </c>
      <c r="P14" s="118">
        <f t="shared" si="1"/>
        <v>0</v>
      </c>
      <c r="Q14" s="118">
        <f t="shared" si="1"/>
        <v>0</v>
      </c>
      <c r="R14" s="118">
        <f t="shared" si="1"/>
        <v>0</v>
      </c>
      <c r="S14" s="118">
        <f t="shared" si="1"/>
        <v>0</v>
      </c>
    </row>
    <row r="15" spans="2:19" x14ac:dyDescent="0.3">
      <c r="B15" s="117" t="s">
        <v>69</v>
      </c>
      <c r="E15" s="140">
        <f>SUM(H15:S15)</f>
        <v>40300000</v>
      </c>
      <c r="F15" s="141"/>
      <c r="G15" s="141"/>
      <c r="H15" s="142">
        <f t="shared" ref="H15:S15" si="2">IF(H16&gt;0,H16,0)</f>
        <v>0</v>
      </c>
      <c r="I15" s="142">
        <f t="shared" si="2"/>
        <v>0</v>
      </c>
      <c r="J15" s="142">
        <f t="shared" si="2"/>
        <v>0</v>
      </c>
      <c r="K15" s="142">
        <f t="shared" si="2"/>
        <v>0</v>
      </c>
      <c r="L15" s="142">
        <f t="shared" si="2"/>
        <v>0</v>
      </c>
      <c r="M15" s="142">
        <f t="shared" si="2"/>
        <v>0</v>
      </c>
      <c r="N15" s="142">
        <f t="shared" si="2"/>
        <v>0</v>
      </c>
      <c r="O15" s="142">
        <v>75000</v>
      </c>
      <c r="P15" s="142">
        <v>75000</v>
      </c>
      <c r="Q15" s="142">
        <v>75000</v>
      </c>
      <c r="R15" s="142">
        <v>75000</v>
      </c>
      <c r="S15" s="142">
        <f t="shared" si="2"/>
        <v>40000000</v>
      </c>
    </row>
    <row r="16" spans="2:19" x14ac:dyDescent="0.3">
      <c r="B16" s="130" t="s">
        <v>70</v>
      </c>
      <c r="C16" s="143"/>
      <c r="D16" s="143"/>
      <c r="E16" s="137">
        <f>SUM(H16:S16)</f>
        <v>20300000</v>
      </c>
      <c r="F16" s="137"/>
      <c r="G16" s="137"/>
      <c r="H16" s="144">
        <v>-2000000</v>
      </c>
      <c r="I16" s="144">
        <v>-2500000</v>
      </c>
      <c r="J16" s="144">
        <v>-10000000</v>
      </c>
      <c r="K16" s="144">
        <v>-2000000</v>
      </c>
      <c r="L16" s="144">
        <v>-3000000</v>
      </c>
      <c r="M16" s="144">
        <v>-400000</v>
      </c>
      <c r="N16" s="144">
        <v>-100000</v>
      </c>
      <c r="O16" s="144">
        <v>75000</v>
      </c>
      <c r="P16" s="144">
        <v>75000</v>
      </c>
      <c r="Q16" s="144">
        <v>75000</v>
      </c>
      <c r="R16" s="144">
        <v>75000</v>
      </c>
      <c r="S16" s="144">
        <v>40000000</v>
      </c>
    </row>
    <row r="17" spans="1:170" x14ac:dyDescent="0.3">
      <c r="B17" s="145"/>
      <c r="E17" s="138"/>
      <c r="F17" s="138"/>
      <c r="G17" s="138"/>
      <c r="H17" s="118"/>
      <c r="I17" s="118"/>
      <c r="J17" s="118"/>
      <c r="K17" s="118"/>
      <c r="L17" s="118"/>
      <c r="M17" s="118"/>
      <c r="N17" s="118"/>
      <c r="O17" s="118"/>
      <c r="P17" s="118"/>
      <c r="Q17" s="118"/>
      <c r="R17" s="118"/>
      <c r="S17" s="11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row>
    <row r="18" spans="1:170" x14ac:dyDescent="0.3">
      <c r="B18" s="146" t="s">
        <v>71</v>
      </c>
      <c r="E18" s="137">
        <f>SUM(H18:S18)</f>
        <v>-18000000</v>
      </c>
      <c r="F18" s="138"/>
      <c r="G18" s="138"/>
      <c r="H18" s="138">
        <v>0</v>
      </c>
      <c r="I18" s="138">
        <v>-2500000</v>
      </c>
      <c r="J18" s="138">
        <v>-10000000</v>
      </c>
      <c r="K18" s="138">
        <v>-2000000</v>
      </c>
      <c r="L18" s="138">
        <v>-3000000</v>
      </c>
      <c r="M18" s="138">
        <v>-400000</v>
      </c>
      <c r="N18" s="138">
        <v>-100000</v>
      </c>
      <c r="O18" s="138">
        <v>0</v>
      </c>
      <c r="P18" s="138">
        <v>0</v>
      </c>
      <c r="Q18" s="138">
        <v>0</v>
      </c>
      <c r="R18" s="138">
        <v>0</v>
      </c>
      <c r="S18" s="138">
        <v>0</v>
      </c>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c r="BH18" s="188"/>
      <c r="BI18" s="188"/>
      <c r="BJ18" s="188"/>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8"/>
      <c r="CO18" s="188"/>
      <c r="CP18" s="188"/>
      <c r="CQ18" s="188"/>
      <c r="CR18" s="188"/>
      <c r="CS18" s="188"/>
      <c r="CT18" s="188"/>
      <c r="CU18" s="188"/>
      <c r="CV18" s="188"/>
      <c r="CW18" s="188"/>
      <c r="CX18" s="188"/>
      <c r="CY18" s="188"/>
      <c r="CZ18" s="188"/>
      <c r="DA18" s="188"/>
      <c r="DB18" s="188"/>
      <c r="DC18" s="188"/>
      <c r="DD18" s="188"/>
      <c r="DE18" s="188"/>
      <c r="DF18" s="188"/>
      <c r="DG18" s="188"/>
      <c r="DH18" s="188"/>
      <c r="DI18" s="188"/>
      <c r="DJ18" s="188"/>
      <c r="DK18" s="188"/>
      <c r="DL18" s="188"/>
      <c r="DM18" s="188"/>
      <c r="DN18" s="188"/>
      <c r="DO18" s="188"/>
      <c r="DP18" s="188"/>
      <c r="DQ18" s="188"/>
      <c r="DR18" s="188"/>
      <c r="DS18" s="188"/>
      <c r="DT18" s="188"/>
      <c r="DU18" s="188"/>
      <c r="DV18" s="188"/>
      <c r="DW18" s="188"/>
      <c r="DX18" s="188"/>
      <c r="DY18" s="188"/>
      <c r="DZ18" s="188"/>
      <c r="EA18" s="188"/>
      <c r="EB18" s="188"/>
      <c r="EC18" s="188"/>
      <c r="ED18" s="188"/>
      <c r="EE18" s="188"/>
      <c r="EF18" s="188"/>
      <c r="EG18" s="188"/>
      <c r="EH18" s="188"/>
      <c r="EI18" s="188"/>
      <c r="EJ18" s="188"/>
      <c r="EK18" s="188"/>
      <c r="EL18" s="188"/>
      <c r="EM18" s="188"/>
      <c r="EN18" s="188"/>
      <c r="EO18" s="188"/>
      <c r="EP18" s="188"/>
      <c r="EQ18" s="188"/>
      <c r="ER18" s="188"/>
      <c r="ES18" s="188"/>
      <c r="ET18" s="188"/>
      <c r="EU18" s="188"/>
      <c r="EV18" s="188"/>
      <c r="EW18" s="188"/>
      <c r="EX18" s="188"/>
      <c r="EY18" s="188"/>
      <c r="EZ18" s="188"/>
      <c r="FA18" s="188"/>
      <c r="FB18" s="188"/>
      <c r="FC18" s="188"/>
      <c r="FD18" s="188"/>
      <c r="FE18" s="188"/>
      <c r="FF18" s="188"/>
      <c r="FG18" s="188"/>
      <c r="FH18" s="188"/>
      <c r="FI18" s="188"/>
      <c r="FJ18" s="188"/>
      <c r="FK18" s="188"/>
      <c r="FL18" s="188"/>
      <c r="FM18" s="188"/>
      <c r="FN18" s="188"/>
    </row>
    <row r="19" spans="1:170" x14ac:dyDescent="0.3">
      <c r="B19" s="276"/>
      <c r="E19" s="138"/>
      <c r="F19" s="138"/>
      <c r="G19" s="138"/>
      <c r="H19" s="118"/>
      <c r="I19" s="118"/>
      <c r="J19" s="118"/>
      <c r="K19" s="118"/>
      <c r="L19" s="118"/>
      <c r="M19" s="118"/>
      <c r="N19" s="118"/>
      <c r="O19" s="118"/>
      <c r="P19" s="118"/>
      <c r="Q19" s="118"/>
      <c r="R19" s="118"/>
      <c r="S19" s="11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8"/>
      <c r="DI19" s="188"/>
      <c r="DJ19" s="188"/>
      <c r="DK19" s="188"/>
      <c r="DL19" s="188"/>
      <c r="DM19" s="188"/>
      <c r="DN19" s="188"/>
      <c r="DO19" s="188"/>
      <c r="DP19" s="188"/>
      <c r="DQ19" s="188"/>
      <c r="DR19" s="188"/>
      <c r="DS19" s="188"/>
      <c r="DT19" s="188"/>
      <c r="DU19" s="188"/>
      <c r="DV19" s="188"/>
      <c r="DW19" s="188"/>
      <c r="DX19" s="188"/>
      <c r="DY19" s="188"/>
      <c r="DZ19" s="188"/>
      <c r="EA19" s="188"/>
      <c r="EB19" s="188"/>
      <c r="EC19" s="188"/>
      <c r="ED19" s="188"/>
      <c r="EE19" s="188"/>
      <c r="EF19" s="188"/>
      <c r="EG19" s="188"/>
      <c r="EH19" s="188"/>
      <c r="EI19" s="188"/>
      <c r="EJ19" s="188"/>
      <c r="EK19" s="188"/>
      <c r="EL19" s="188"/>
      <c r="EM19" s="188"/>
      <c r="EN19" s="188"/>
      <c r="EO19" s="188"/>
      <c r="EP19" s="188"/>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188"/>
      <c r="FM19" s="188"/>
      <c r="FN19" s="188"/>
    </row>
    <row r="20" spans="1:170" x14ac:dyDescent="0.3">
      <c r="A20" s="357" t="s">
        <v>162</v>
      </c>
      <c r="B20" s="111" t="s">
        <v>57</v>
      </c>
      <c r="C20" s="148" t="s">
        <v>72</v>
      </c>
      <c r="D20" s="146">
        <f>M5</f>
        <v>0.1</v>
      </c>
      <c r="E20" s="149"/>
      <c r="F20" s="149"/>
      <c r="G20" s="149"/>
      <c r="H20" s="155"/>
      <c r="I20" s="155"/>
      <c r="J20" s="155"/>
      <c r="K20" s="155"/>
      <c r="L20" s="155"/>
      <c r="M20" s="155"/>
      <c r="N20" s="155"/>
      <c r="O20" s="155"/>
      <c r="P20" s="155"/>
      <c r="Q20" s="155"/>
      <c r="R20" s="155"/>
      <c r="S20" s="155"/>
    </row>
    <row r="21" spans="1:170" x14ac:dyDescent="0.3">
      <c r="A21" s="358" t="s">
        <v>163</v>
      </c>
      <c r="B21" s="113" t="s">
        <v>58</v>
      </c>
      <c r="C21" s="150"/>
      <c r="D21" s="150"/>
      <c r="E21" s="151"/>
      <c r="F21" s="151"/>
      <c r="G21" s="151"/>
      <c r="H21" s="152">
        <f>+G25</f>
        <v>0</v>
      </c>
      <c r="I21" s="152">
        <f>+H25</f>
        <v>0</v>
      </c>
      <c r="J21" s="152">
        <f>+I25</f>
        <v>2500000</v>
      </c>
      <c r="K21" s="152">
        <f>+J25</f>
        <v>12519935.351072259</v>
      </c>
      <c r="L21" s="152">
        <f>+K25</f>
        <v>14619771.073722506</v>
      </c>
      <c r="M21" s="152">
        <f t="shared" ref="M21:S21" si="3">+L25</f>
        <v>17736351.181302793</v>
      </c>
      <c r="N21" s="152">
        <f t="shared" si="3"/>
        <v>18277783.336318854</v>
      </c>
      <c r="O21" s="152">
        <f t="shared" si="3"/>
        <v>18523532.947371736</v>
      </c>
      <c r="P21" s="152">
        <f t="shared" si="3"/>
        <v>18603742.200333506</v>
      </c>
      <c r="Q21" s="152">
        <f t="shared" si="3"/>
        <v>18684591.053142089</v>
      </c>
      <c r="R21" s="152">
        <f t="shared" si="3"/>
        <v>18766084.606056482</v>
      </c>
      <c r="S21" s="212">
        <f t="shared" si="3"/>
        <v>18848228.000005864</v>
      </c>
    </row>
    <row r="22" spans="1:170" ht="13.5" x14ac:dyDescent="0.3">
      <c r="A22" s="112"/>
      <c r="B22" s="114" t="s">
        <v>59</v>
      </c>
      <c r="C22" s="153"/>
      <c r="D22" s="153"/>
      <c r="E22" s="154">
        <f>SUM(H22:S22)</f>
        <v>18000000</v>
      </c>
      <c r="F22" s="154"/>
      <c r="G22" s="154"/>
      <c r="H22" s="155">
        <f>-H18</f>
        <v>0</v>
      </c>
      <c r="I22" s="155">
        <f>-I18</f>
        <v>2500000</v>
      </c>
      <c r="J22" s="155">
        <f>-J18</f>
        <v>10000000</v>
      </c>
      <c r="K22" s="155">
        <f>-K18</f>
        <v>2000000</v>
      </c>
      <c r="L22" s="155">
        <f>-L18</f>
        <v>3000000</v>
      </c>
      <c r="M22" s="155">
        <f t="shared" ref="M22:S22" si="4">-M18</f>
        <v>400000</v>
      </c>
      <c r="N22" s="155">
        <f t="shared" si="4"/>
        <v>100000</v>
      </c>
      <c r="O22" s="155">
        <f t="shared" si="4"/>
        <v>0</v>
      </c>
      <c r="P22" s="155">
        <f t="shared" si="4"/>
        <v>0</v>
      </c>
      <c r="Q22" s="155">
        <f t="shared" si="4"/>
        <v>0</v>
      </c>
      <c r="R22" s="155">
        <f t="shared" si="4"/>
        <v>0</v>
      </c>
      <c r="S22" s="213">
        <f t="shared" si="4"/>
        <v>0</v>
      </c>
    </row>
    <row r="23" spans="1:170" ht="13.5" x14ac:dyDescent="0.3">
      <c r="A23" s="112"/>
      <c r="B23" s="114" t="s">
        <v>60</v>
      </c>
      <c r="C23" s="153"/>
      <c r="D23" s="153"/>
      <c r="E23" s="154">
        <f>SUM(H23:S23)</f>
        <v>1268526.4169139105</v>
      </c>
      <c r="F23" s="154"/>
      <c r="G23" s="154"/>
      <c r="H23" s="155">
        <f>+H21*((1+$D$20)^(1/12)-1)</f>
        <v>0</v>
      </c>
      <c r="I23" s="155">
        <f t="shared" ref="I23:S23" si="5">+I21*((1+$D$20)^(1/12)-1)</f>
        <v>0</v>
      </c>
      <c r="J23" s="155">
        <f t="shared" si="5"/>
        <v>19935.351072259411</v>
      </c>
      <c r="K23" s="155">
        <f t="shared" si="5"/>
        <v>99835.722650246753</v>
      </c>
      <c r="L23" s="155">
        <f t="shared" si="5"/>
        <v>116580.10758028843</v>
      </c>
      <c r="M23" s="155">
        <f t="shared" si="5"/>
        <v>141432.15501606165</v>
      </c>
      <c r="N23" s="155">
        <f t="shared" si="5"/>
        <v>145749.6110528837</v>
      </c>
      <c r="O23" s="155">
        <f t="shared" si="5"/>
        <v>147709.25296176787</v>
      </c>
      <c r="P23" s="155">
        <f t="shared" si="5"/>
        <v>148348.85280858248</v>
      </c>
      <c r="Q23" s="155">
        <f t="shared" si="5"/>
        <v>148993.55291439389</v>
      </c>
      <c r="R23" s="155">
        <f t="shared" si="5"/>
        <v>149643.39394938355</v>
      </c>
      <c r="S23" s="213">
        <f t="shared" si="5"/>
        <v>150298.41690804271</v>
      </c>
    </row>
    <row r="24" spans="1:170" ht="13.5" x14ac:dyDescent="0.3">
      <c r="A24" s="112"/>
      <c r="B24" s="114" t="s">
        <v>61</v>
      </c>
      <c r="C24" s="153"/>
      <c r="D24" s="153"/>
      <c r="E24" s="140">
        <f>SUM(H24:S24)</f>
        <v>-19268526.416913908</v>
      </c>
      <c r="F24" s="140"/>
      <c r="G24" s="140"/>
      <c r="H24" s="142">
        <f t="shared" ref="H24:S24" si="6">MIN(0,MAX(-(H21+H22+H23),-$C$27*H16))</f>
        <v>0</v>
      </c>
      <c r="I24" s="142">
        <f>MIN(0,MAX(-(I21+I22+I23),-$C$27*I16))</f>
        <v>0</v>
      </c>
      <c r="J24" s="142">
        <f>MIN(0,MAX(-(J21+J22+J23),-$C$27*J16))</f>
        <v>0</v>
      </c>
      <c r="K24" s="142">
        <f t="shared" si="6"/>
        <v>0</v>
      </c>
      <c r="L24" s="142">
        <f t="shared" si="6"/>
        <v>0</v>
      </c>
      <c r="M24" s="142">
        <f t="shared" si="6"/>
        <v>0</v>
      </c>
      <c r="N24" s="142">
        <f t="shared" si="6"/>
        <v>0</v>
      </c>
      <c r="O24" s="142">
        <f t="shared" si="6"/>
        <v>-67500</v>
      </c>
      <c r="P24" s="142">
        <f t="shared" si="6"/>
        <v>-67500</v>
      </c>
      <c r="Q24" s="142">
        <f t="shared" si="6"/>
        <v>-67500</v>
      </c>
      <c r="R24" s="142">
        <f t="shared" si="6"/>
        <v>-67500</v>
      </c>
      <c r="S24" s="216">
        <f t="shared" si="6"/>
        <v>-18998526.416913908</v>
      </c>
    </row>
    <row r="25" spans="1:170" ht="13.5" x14ac:dyDescent="0.3">
      <c r="A25" s="112"/>
      <c r="B25" s="114" t="s">
        <v>62</v>
      </c>
      <c r="C25" s="153"/>
      <c r="D25" s="153"/>
      <c r="E25" s="154">
        <f>SUM(E22:E24)</f>
        <v>0</v>
      </c>
      <c r="F25" s="154"/>
      <c r="G25" s="277"/>
      <c r="H25" s="155">
        <f t="shared" ref="H25:S25" si="7">SUM(H21:H24)</f>
        <v>0</v>
      </c>
      <c r="I25" s="155">
        <f t="shared" si="7"/>
        <v>2500000</v>
      </c>
      <c r="J25" s="155">
        <f t="shared" si="7"/>
        <v>12519935.351072259</v>
      </c>
      <c r="K25" s="155">
        <f t="shared" si="7"/>
        <v>14619771.073722506</v>
      </c>
      <c r="L25" s="155">
        <f t="shared" si="7"/>
        <v>17736351.181302793</v>
      </c>
      <c r="M25" s="155">
        <f t="shared" si="7"/>
        <v>18277783.336318854</v>
      </c>
      <c r="N25" s="155">
        <f t="shared" si="7"/>
        <v>18523532.947371736</v>
      </c>
      <c r="O25" s="155">
        <f t="shared" si="7"/>
        <v>18603742.200333506</v>
      </c>
      <c r="P25" s="155">
        <f t="shared" si="7"/>
        <v>18684591.053142089</v>
      </c>
      <c r="Q25" s="155">
        <f t="shared" si="7"/>
        <v>18766084.606056482</v>
      </c>
      <c r="R25" s="155">
        <f t="shared" si="7"/>
        <v>18848228.000005864</v>
      </c>
      <c r="S25" s="213">
        <f t="shared" si="7"/>
        <v>0</v>
      </c>
    </row>
    <row r="26" spans="1:170" ht="13.5" x14ac:dyDescent="0.3">
      <c r="A26" s="112"/>
      <c r="B26" s="114"/>
      <c r="C26" s="153"/>
      <c r="D26" s="153"/>
      <c r="E26" s="157"/>
      <c r="F26" s="157"/>
      <c r="G26" s="157"/>
      <c r="H26" s="155"/>
      <c r="I26" s="155"/>
      <c r="J26" s="155"/>
      <c r="K26" s="155"/>
      <c r="L26" s="155"/>
      <c r="M26" s="155"/>
      <c r="N26" s="155"/>
      <c r="O26" s="155"/>
      <c r="P26" s="155"/>
      <c r="Q26" s="155"/>
      <c r="R26" s="155"/>
      <c r="S26" s="213"/>
    </row>
    <row r="27" spans="1:170" ht="13.5" x14ac:dyDescent="0.3">
      <c r="A27" s="112"/>
      <c r="B27" s="115" t="s">
        <v>63</v>
      </c>
      <c r="C27" s="158">
        <f>Q5</f>
        <v>0.9</v>
      </c>
      <c r="D27" s="158"/>
      <c r="E27" s="154">
        <f>+SUM(H27:S27)</f>
        <v>1268526.416913908</v>
      </c>
      <c r="F27" s="154"/>
      <c r="G27" s="154"/>
      <c r="H27" s="159">
        <f t="shared" ref="H27:S27" si="8">+MIN(-(H22+H24),H21+H23)</f>
        <v>0</v>
      </c>
      <c r="I27" s="159">
        <f t="shared" si="8"/>
        <v>-2500000</v>
      </c>
      <c r="J27" s="159">
        <f t="shared" si="8"/>
        <v>-10000000</v>
      </c>
      <c r="K27" s="159">
        <f t="shared" si="8"/>
        <v>-2000000</v>
      </c>
      <c r="L27" s="159">
        <f t="shared" si="8"/>
        <v>-3000000</v>
      </c>
      <c r="M27" s="159">
        <f t="shared" si="8"/>
        <v>-400000</v>
      </c>
      <c r="N27" s="159">
        <f t="shared" si="8"/>
        <v>-100000</v>
      </c>
      <c r="O27" s="159">
        <f t="shared" si="8"/>
        <v>67500</v>
      </c>
      <c r="P27" s="159">
        <f t="shared" si="8"/>
        <v>67500</v>
      </c>
      <c r="Q27" s="159">
        <f t="shared" si="8"/>
        <v>67500</v>
      </c>
      <c r="R27" s="159">
        <f t="shared" si="8"/>
        <v>67500</v>
      </c>
      <c r="S27" s="214">
        <f t="shared" si="8"/>
        <v>18998526.416913908</v>
      </c>
    </row>
    <row r="28" spans="1:170" ht="13.5" x14ac:dyDescent="0.3">
      <c r="A28" s="112"/>
      <c r="B28" s="115" t="s">
        <v>125</v>
      </c>
      <c r="C28" s="160">
        <f>N5</f>
        <v>0.1</v>
      </c>
      <c r="D28" s="160"/>
      <c r="E28" s="154">
        <f>+SUM(H28:S28)</f>
        <v>2140947.3796571009</v>
      </c>
      <c r="F28" s="161"/>
      <c r="G28" s="161"/>
      <c r="H28" s="159">
        <f>-H24/$C$27*$C$28</f>
        <v>0</v>
      </c>
      <c r="I28" s="159">
        <f>-I24/$C$27*$C$28</f>
        <v>0</v>
      </c>
      <c r="J28" s="159">
        <f>-J24/$C$27*$C$28</f>
        <v>0</v>
      </c>
      <c r="K28" s="159">
        <f>-K24/$C$27*$C$28</f>
        <v>0</v>
      </c>
      <c r="L28" s="159">
        <f>-L24/$C$27*$C$28</f>
        <v>0</v>
      </c>
      <c r="M28" s="159">
        <f t="shared" ref="M28:S28" si="9">-M24/$C$27*$C$28</f>
        <v>0</v>
      </c>
      <c r="N28" s="159">
        <f t="shared" si="9"/>
        <v>0</v>
      </c>
      <c r="O28" s="159">
        <f t="shared" si="9"/>
        <v>7500</v>
      </c>
      <c r="P28" s="159">
        <f t="shared" si="9"/>
        <v>7500</v>
      </c>
      <c r="Q28" s="159">
        <f t="shared" si="9"/>
        <v>7500</v>
      </c>
      <c r="R28" s="159">
        <f t="shared" si="9"/>
        <v>7500</v>
      </c>
      <c r="S28" s="214">
        <f t="shared" si="9"/>
        <v>2110947.3796571009</v>
      </c>
    </row>
    <row r="29" spans="1:170" ht="13.5" x14ac:dyDescent="0.3">
      <c r="A29" s="112"/>
      <c r="B29" s="115" t="s">
        <v>126</v>
      </c>
      <c r="C29" s="158">
        <f>O5</f>
        <v>0</v>
      </c>
      <c r="D29" s="158"/>
      <c r="E29" s="154">
        <f>+SUM(H29:S29)</f>
        <v>0</v>
      </c>
      <c r="F29" s="161"/>
      <c r="G29" s="161"/>
      <c r="H29" s="159">
        <f>-H24/$C$27*$C$29</f>
        <v>0</v>
      </c>
      <c r="I29" s="159">
        <f>-I24/$C$27*$C$29</f>
        <v>0</v>
      </c>
      <c r="J29" s="159">
        <f>-J24/$C$27*$C$29</f>
        <v>0</v>
      </c>
      <c r="K29" s="159">
        <f>-K24/$C$27*$C$29</f>
        <v>0</v>
      </c>
      <c r="L29" s="159">
        <f>-L24/$C$27*$C$29</f>
        <v>0</v>
      </c>
      <c r="M29" s="159">
        <f t="shared" ref="M29:S29" si="10">-M24/$C$27*$C$29</f>
        <v>0</v>
      </c>
      <c r="N29" s="159">
        <f t="shared" si="10"/>
        <v>0</v>
      </c>
      <c r="O29" s="159">
        <f t="shared" si="10"/>
        <v>0</v>
      </c>
      <c r="P29" s="159">
        <f t="shared" si="10"/>
        <v>0</v>
      </c>
      <c r="Q29" s="159">
        <f t="shared" si="10"/>
        <v>0</v>
      </c>
      <c r="R29" s="159">
        <f t="shared" si="10"/>
        <v>0</v>
      </c>
      <c r="S29" s="214">
        <f t="shared" si="10"/>
        <v>0</v>
      </c>
    </row>
    <row r="30" spans="1:170" ht="13.5" x14ac:dyDescent="0.3">
      <c r="A30" s="112"/>
      <c r="B30" s="115"/>
      <c r="C30" s="158"/>
      <c r="D30" s="158"/>
      <c r="E30" s="154"/>
      <c r="F30" s="161"/>
      <c r="G30" s="161"/>
      <c r="H30" s="159"/>
      <c r="I30" s="159"/>
      <c r="J30" s="159"/>
      <c r="K30" s="159"/>
      <c r="L30" s="159"/>
      <c r="M30" s="159"/>
      <c r="N30" s="159"/>
      <c r="O30" s="159"/>
      <c r="P30" s="159"/>
      <c r="Q30" s="159"/>
      <c r="R30" s="159"/>
      <c r="S30" s="214"/>
    </row>
    <row r="31" spans="1:170" ht="13.5" x14ac:dyDescent="0.3">
      <c r="A31" s="112"/>
      <c r="B31" s="116" t="s">
        <v>64</v>
      </c>
      <c r="C31" s="163"/>
      <c r="D31" s="163"/>
      <c r="E31" s="140">
        <f>+SUM(H31:S31)</f>
        <v>18890526.203428991</v>
      </c>
      <c r="F31" s="140"/>
      <c r="G31" s="140"/>
      <c r="H31" s="164">
        <f t="shared" ref="H31:S31" si="11">IF(H27&lt;0,0,H15-SUM(H27:H29))</f>
        <v>0</v>
      </c>
      <c r="I31" s="164">
        <f t="shared" si="11"/>
        <v>0</v>
      </c>
      <c r="J31" s="164">
        <f t="shared" si="11"/>
        <v>0</v>
      </c>
      <c r="K31" s="164">
        <f t="shared" si="11"/>
        <v>0</v>
      </c>
      <c r="L31" s="164">
        <f t="shared" si="11"/>
        <v>0</v>
      </c>
      <c r="M31" s="164">
        <f t="shared" si="11"/>
        <v>0</v>
      </c>
      <c r="N31" s="164">
        <f t="shared" si="11"/>
        <v>0</v>
      </c>
      <c r="O31" s="164">
        <f t="shared" si="11"/>
        <v>0</v>
      </c>
      <c r="P31" s="164">
        <f t="shared" si="11"/>
        <v>0</v>
      </c>
      <c r="Q31" s="164">
        <f t="shared" si="11"/>
        <v>0</v>
      </c>
      <c r="R31" s="164">
        <f t="shared" si="11"/>
        <v>0</v>
      </c>
      <c r="S31" s="215">
        <f t="shared" si="11"/>
        <v>18890526.203428991</v>
      </c>
    </row>
    <row r="32" spans="1:170" ht="13.5" x14ac:dyDescent="0.3">
      <c r="A32" s="112"/>
      <c r="C32" s="135"/>
      <c r="D32" s="135"/>
      <c r="E32" s="138"/>
      <c r="F32" s="138"/>
      <c r="G32" s="138"/>
      <c r="H32" s="118"/>
      <c r="I32" s="118"/>
      <c r="J32" s="118"/>
      <c r="K32" s="118"/>
      <c r="L32" s="118"/>
      <c r="M32" s="118"/>
      <c r="N32" s="118"/>
      <c r="O32" s="118"/>
      <c r="P32" s="118"/>
      <c r="Q32" s="118"/>
      <c r="R32" s="118"/>
      <c r="S32" s="118"/>
    </row>
    <row r="33" spans="1:19" x14ac:dyDescent="0.3">
      <c r="A33" s="359" t="s">
        <v>164</v>
      </c>
      <c r="B33" s="111" t="s">
        <v>65</v>
      </c>
      <c r="C33" s="148" t="s">
        <v>72</v>
      </c>
      <c r="D33" s="146">
        <f>M6</f>
        <v>0.15</v>
      </c>
      <c r="E33" s="149"/>
      <c r="F33" s="149"/>
      <c r="G33" s="149"/>
      <c r="H33" s="118"/>
      <c r="I33" s="118"/>
      <c r="J33" s="118"/>
      <c r="K33" s="118"/>
      <c r="L33" s="118"/>
      <c r="M33" s="118"/>
      <c r="N33" s="118"/>
      <c r="O33" s="118"/>
      <c r="P33" s="118"/>
      <c r="Q33" s="118"/>
      <c r="R33" s="118"/>
      <c r="S33" s="118"/>
    </row>
    <row r="34" spans="1:19" ht="13.5" x14ac:dyDescent="0.3">
      <c r="A34" s="112"/>
      <c r="B34" s="113" t="s">
        <v>58</v>
      </c>
      <c r="C34" s="150"/>
      <c r="D34" s="150"/>
      <c r="E34" s="151"/>
      <c r="F34" s="151"/>
      <c r="G34" s="151"/>
      <c r="H34" s="152">
        <f>+G39</f>
        <v>0</v>
      </c>
      <c r="I34" s="152">
        <f>+H39</f>
        <v>0</v>
      </c>
      <c r="J34" s="152">
        <f>+I39</f>
        <v>2500000</v>
      </c>
      <c r="K34" s="152">
        <f>+J39</f>
        <v>12529287.292299634</v>
      </c>
      <c r="L34" s="152">
        <f>+K39</f>
        <v>14676066.851993898</v>
      </c>
      <c r="M34" s="152">
        <f t="shared" ref="M34:S34" si="12">+L39</f>
        <v>17847995.755875219</v>
      </c>
      <c r="N34" s="152">
        <f>+M39</f>
        <v>18457083.543341193</v>
      </c>
      <c r="O34" s="152">
        <f t="shared" si="12"/>
        <v>18773306.743634228</v>
      </c>
      <c r="P34" s="152">
        <f t="shared" si="12"/>
        <v>18925734.472446825</v>
      </c>
      <c r="Q34" s="152">
        <f t="shared" si="12"/>
        <v>19079947.879438747</v>
      </c>
      <c r="R34" s="152">
        <f t="shared" si="12"/>
        <v>19235967.883681506</v>
      </c>
      <c r="S34" s="212">
        <f t="shared" si="12"/>
        <v>19393815.649311803</v>
      </c>
    </row>
    <row r="35" spans="1:19" ht="13.5" x14ac:dyDescent="0.3">
      <c r="A35" s="112"/>
      <c r="B35" s="114" t="s">
        <v>59</v>
      </c>
      <c r="C35" s="153"/>
      <c r="D35" s="153"/>
      <c r="E35" s="154">
        <f>SUM(H35:S35)</f>
        <v>18000000</v>
      </c>
      <c r="F35" s="154"/>
      <c r="G35" s="154"/>
      <c r="H35" s="155">
        <f>+H22</f>
        <v>0</v>
      </c>
      <c r="I35" s="155">
        <f t="shared" ref="I35:S35" si="13">+I22</f>
        <v>2500000</v>
      </c>
      <c r="J35" s="155">
        <f t="shared" si="13"/>
        <v>10000000</v>
      </c>
      <c r="K35" s="155">
        <f t="shared" si="13"/>
        <v>2000000</v>
      </c>
      <c r="L35" s="155">
        <f t="shared" si="13"/>
        <v>3000000</v>
      </c>
      <c r="M35" s="155">
        <f t="shared" si="13"/>
        <v>400000</v>
      </c>
      <c r="N35" s="155">
        <f t="shared" si="13"/>
        <v>100000</v>
      </c>
      <c r="O35" s="155">
        <f t="shared" si="13"/>
        <v>0</v>
      </c>
      <c r="P35" s="155">
        <f t="shared" si="13"/>
        <v>0</v>
      </c>
      <c r="Q35" s="155">
        <f t="shared" si="13"/>
        <v>0</v>
      </c>
      <c r="R35" s="155">
        <f t="shared" si="13"/>
        <v>0</v>
      </c>
      <c r="S35" s="213">
        <f t="shared" si="13"/>
        <v>0</v>
      </c>
    </row>
    <row r="36" spans="1:19" ht="13.5" x14ac:dyDescent="0.3">
      <c r="A36" s="112"/>
      <c r="B36" s="114" t="s">
        <v>60</v>
      </c>
      <c r="C36" s="153"/>
      <c r="D36" s="153"/>
      <c r="E36" s="154">
        <f>SUM(H36:S36)</f>
        <v>1891012.5884024422</v>
      </c>
      <c r="F36" s="154"/>
      <c r="G36" s="154"/>
      <c r="H36" s="155">
        <f t="shared" ref="H36:S36" si="14">+H34*((1+$D$33)^(1/12)-1)</f>
        <v>0</v>
      </c>
      <c r="I36" s="155">
        <f t="shared" si="14"/>
        <v>0</v>
      </c>
      <c r="J36" s="155">
        <f t="shared" si="14"/>
        <v>29287.292299633449</v>
      </c>
      <c r="K36" s="155">
        <f t="shared" si="14"/>
        <v>146779.55969426493</v>
      </c>
      <c r="L36" s="155">
        <f t="shared" si="14"/>
        <v>171928.90388132265</v>
      </c>
      <c r="M36" s="155">
        <f t="shared" si="14"/>
        <v>209087.7874659739</v>
      </c>
      <c r="N36" s="155">
        <f t="shared" si="14"/>
        <v>216223.20029303513</v>
      </c>
      <c r="O36" s="155">
        <f t="shared" si="14"/>
        <v>219927.72881259816</v>
      </c>
      <c r="P36" s="155">
        <f t="shared" si="14"/>
        <v>221713.40699191971</v>
      </c>
      <c r="Q36" s="155">
        <f t="shared" si="14"/>
        <v>223520.0042427576</v>
      </c>
      <c r="R36" s="155">
        <f t="shared" si="14"/>
        <v>225347.76563029669</v>
      </c>
      <c r="S36" s="213">
        <f t="shared" si="14"/>
        <v>227196.93909064011</v>
      </c>
    </row>
    <row r="37" spans="1:19" ht="13.5" x14ac:dyDescent="0.3">
      <c r="A37" s="112"/>
      <c r="B37" s="114" t="s">
        <v>61</v>
      </c>
      <c r="C37" s="153"/>
      <c r="D37" s="153"/>
      <c r="E37" s="154">
        <f>SUM(H37:S37)</f>
        <v>-19268526.416913908</v>
      </c>
      <c r="F37" s="154"/>
      <c r="G37" s="154"/>
      <c r="H37" s="155">
        <f t="shared" ref="H37:S37" si="15">+H$24</f>
        <v>0</v>
      </c>
      <c r="I37" s="155">
        <f t="shared" si="15"/>
        <v>0</v>
      </c>
      <c r="J37" s="155">
        <f t="shared" si="15"/>
        <v>0</v>
      </c>
      <c r="K37" s="155">
        <f t="shared" si="15"/>
        <v>0</v>
      </c>
      <c r="L37" s="155">
        <f t="shared" si="15"/>
        <v>0</v>
      </c>
      <c r="M37" s="155">
        <f t="shared" si="15"/>
        <v>0</v>
      </c>
      <c r="N37" s="155">
        <f t="shared" si="15"/>
        <v>0</v>
      </c>
      <c r="O37" s="155">
        <f t="shared" si="15"/>
        <v>-67500</v>
      </c>
      <c r="P37" s="155">
        <f t="shared" si="15"/>
        <v>-67500</v>
      </c>
      <c r="Q37" s="155">
        <f t="shared" si="15"/>
        <v>-67500</v>
      </c>
      <c r="R37" s="155">
        <f t="shared" si="15"/>
        <v>-67500</v>
      </c>
      <c r="S37" s="213">
        <f t="shared" si="15"/>
        <v>-18998526.416913908</v>
      </c>
    </row>
    <row r="38" spans="1:19" ht="13.5" x14ac:dyDescent="0.3">
      <c r="A38" s="112"/>
      <c r="B38" s="114" t="s">
        <v>66</v>
      </c>
      <c r="C38" s="153"/>
      <c r="D38" s="153"/>
      <c r="E38" s="140">
        <f>SUM(H38:S38)</f>
        <v>-622486.17148853466</v>
      </c>
      <c r="F38" s="140"/>
      <c r="G38" s="140"/>
      <c r="H38" s="142">
        <f>MIN(0,MAX(-(H34+H36+H37),-$C$41*H31))</f>
        <v>0</v>
      </c>
      <c r="I38" s="142">
        <f>MIN(0,MAX(-(I34+I36+I37),-$C$41*I31))</f>
        <v>0</v>
      </c>
      <c r="J38" s="142">
        <f>MIN(0,MAX(-(J34+J36+J37),-$C$41*J31))</f>
        <v>0</v>
      </c>
      <c r="K38" s="142">
        <f>MIN(0,MAX(-(K34+K36+K37),-$C$41*K31))</f>
        <v>0</v>
      </c>
      <c r="L38" s="142">
        <f>MIN(0,MAX(-(L34+L36+L37),-$C$41*L31))</f>
        <v>0</v>
      </c>
      <c r="M38" s="142">
        <f t="shared" ref="M38:S38" si="16">MIN(0,MAX(-(M34+M36+M37),-$C$41*M31))</f>
        <v>0</v>
      </c>
      <c r="N38" s="142">
        <f t="shared" si="16"/>
        <v>0</v>
      </c>
      <c r="O38" s="142">
        <f t="shared" si="16"/>
        <v>0</v>
      </c>
      <c r="P38" s="142">
        <f t="shared" si="16"/>
        <v>0</v>
      </c>
      <c r="Q38" s="142">
        <f t="shared" si="16"/>
        <v>0</v>
      </c>
      <c r="R38" s="142">
        <f t="shared" si="16"/>
        <v>0</v>
      </c>
      <c r="S38" s="216">
        <f t="shared" si="16"/>
        <v>-622486.17148853466</v>
      </c>
    </row>
    <row r="39" spans="1:19" ht="13.5" x14ac:dyDescent="0.3">
      <c r="A39" s="112"/>
      <c r="B39" s="114" t="s">
        <v>62</v>
      </c>
      <c r="C39" s="153"/>
      <c r="D39" s="153"/>
      <c r="E39" s="154">
        <f>SUM(E35:E38)</f>
        <v>0</v>
      </c>
      <c r="F39" s="154"/>
      <c r="G39" s="277"/>
      <c r="H39" s="155">
        <f>SUM(H34:H38)</f>
        <v>0</v>
      </c>
      <c r="I39" s="155">
        <f>SUM(I34:I38)</f>
        <v>2500000</v>
      </c>
      <c r="J39" s="155">
        <f>SUM(J34:J38)</f>
        <v>12529287.292299634</v>
      </c>
      <c r="K39" s="155">
        <f>SUM(K34:K38)</f>
        <v>14676066.851993898</v>
      </c>
      <c r="L39" s="155">
        <f>SUM(L34:L38)</f>
        <v>17847995.755875219</v>
      </c>
      <c r="M39" s="155">
        <f t="shared" ref="M39:S39" si="17">SUM(M34:M38)</f>
        <v>18457083.543341193</v>
      </c>
      <c r="N39" s="155">
        <f t="shared" si="17"/>
        <v>18773306.743634228</v>
      </c>
      <c r="O39" s="155">
        <f t="shared" si="17"/>
        <v>18925734.472446825</v>
      </c>
      <c r="P39" s="155">
        <f t="shared" si="17"/>
        <v>19079947.879438747</v>
      </c>
      <c r="Q39" s="155">
        <f t="shared" si="17"/>
        <v>19235967.883681506</v>
      </c>
      <c r="R39" s="155">
        <f t="shared" si="17"/>
        <v>19393815.649311803</v>
      </c>
      <c r="S39" s="213">
        <f t="shared" si="17"/>
        <v>0</v>
      </c>
    </row>
    <row r="40" spans="1:19" ht="13.5" x14ac:dyDescent="0.3">
      <c r="A40" s="112"/>
      <c r="B40" s="114"/>
      <c r="C40" s="153"/>
      <c r="D40" s="153"/>
      <c r="E40" s="157"/>
      <c r="F40" s="157"/>
      <c r="G40" s="157"/>
      <c r="H40" s="155"/>
      <c r="I40" s="155"/>
      <c r="J40" s="155"/>
      <c r="K40" s="155"/>
      <c r="L40" s="155"/>
      <c r="M40" s="155"/>
      <c r="N40" s="155"/>
      <c r="O40" s="155"/>
      <c r="P40" s="155"/>
      <c r="Q40" s="155"/>
      <c r="R40" s="155"/>
      <c r="S40" s="213"/>
    </row>
    <row r="41" spans="1:19" ht="13.5" x14ac:dyDescent="0.3">
      <c r="A41" s="112"/>
      <c r="B41" s="115" t="s">
        <v>63</v>
      </c>
      <c r="C41" s="158">
        <f>Q6</f>
        <v>0.8</v>
      </c>
      <c r="D41" s="158"/>
      <c r="E41" s="154">
        <f>SUM(H41:S41)</f>
        <v>622486.17148853466</v>
      </c>
      <c r="F41" s="154"/>
      <c r="G41" s="154"/>
      <c r="H41" s="159">
        <f>MAX(0,MIN(-(H35+H38),H34+H36))</f>
        <v>0</v>
      </c>
      <c r="I41" s="159">
        <f>MAX(0,MIN(-(I35+I38),I34+I36))</f>
        <v>0</v>
      </c>
      <c r="J41" s="159">
        <f>MAX(0,MIN(-(J35+J38),J34+J36))</f>
        <v>0</v>
      </c>
      <c r="K41" s="159">
        <f>MAX(0,MIN(-(K35+K38),K34+K36))</f>
        <v>0</v>
      </c>
      <c r="L41" s="159">
        <f>MAX(0,MIN(-(L35+L38),L34+L36))</f>
        <v>0</v>
      </c>
      <c r="M41" s="159">
        <f t="shared" ref="M41:S41" si="18">MAX(0,MIN(-(M35+M38),M34+M36))</f>
        <v>0</v>
      </c>
      <c r="N41" s="159">
        <f t="shared" si="18"/>
        <v>0</v>
      </c>
      <c r="O41" s="159">
        <f t="shared" si="18"/>
        <v>0</v>
      </c>
      <c r="P41" s="159">
        <f t="shared" si="18"/>
        <v>0</v>
      </c>
      <c r="Q41" s="159">
        <f t="shared" si="18"/>
        <v>0</v>
      </c>
      <c r="R41" s="159">
        <f t="shared" si="18"/>
        <v>0</v>
      </c>
      <c r="S41" s="214">
        <f t="shared" si="18"/>
        <v>622486.17148853466</v>
      </c>
    </row>
    <row r="42" spans="1:19" ht="13.5" x14ac:dyDescent="0.3">
      <c r="A42" s="112"/>
      <c r="B42" s="115" t="s">
        <v>125</v>
      </c>
      <c r="C42" s="158">
        <f>+N6</f>
        <v>0.1</v>
      </c>
      <c r="D42" s="158"/>
      <c r="E42" s="154">
        <f>SUM(H42:S42)</f>
        <v>77810.771436066832</v>
      </c>
      <c r="F42" s="154"/>
      <c r="G42" s="154"/>
      <c r="H42" s="159">
        <f>-H38/$C$41*$C$42</f>
        <v>0</v>
      </c>
      <c r="I42" s="159">
        <f>-I38/$C$41*$C$42</f>
        <v>0</v>
      </c>
      <c r="J42" s="159">
        <f>-J38/$C$41*$C$42</f>
        <v>0</v>
      </c>
      <c r="K42" s="159">
        <f>-K38/$C$41*$C$42</f>
        <v>0</v>
      </c>
      <c r="L42" s="159">
        <f>-L38/$C$41*$C$42</f>
        <v>0</v>
      </c>
      <c r="M42" s="159">
        <f t="shared" ref="M42:S42" si="19">-M38/$C$41*$C$42</f>
        <v>0</v>
      </c>
      <c r="N42" s="159">
        <f t="shared" si="19"/>
        <v>0</v>
      </c>
      <c r="O42" s="159">
        <f t="shared" si="19"/>
        <v>0</v>
      </c>
      <c r="P42" s="159">
        <f t="shared" si="19"/>
        <v>0</v>
      </c>
      <c r="Q42" s="159">
        <f t="shared" si="19"/>
        <v>0</v>
      </c>
      <c r="R42" s="159">
        <f>-R38/$C$41*$C$42</f>
        <v>0</v>
      </c>
      <c r="S42" s="214">
        <f t="shared" si="19"/>
        <v>77810.771436066832</v>
      </c>
    </row>
    <row r="43" spans="1:19" ht="13.5" x14ac:dyDescent="0.3">
      <c r="A43" s="112"/>
      <c r="B43" s="115" t="s">
        <v>126</v>
      </c>
      <c r="C43" s="158">
        <f>O6</f>
        <v>0.1</v>
      </c>
      <c r="D43" s="158"/>
      <c r="E43" s="154">
        <f>+SUM(H43:S43)</f>
        <v>77810.771436066832</v>
      </c>
      <c r="F43" s="161"/>
      <c r="G43" s="161"/>
      <c r="H43" s="159">
        <f>-H38/$C$41*$C$43</f>
        <v>0</v>
      </c>
      <c r="I43" s="159">
        <f>-I38/$C$41*$C$43</f>
        <v>0</v>
      </c>
      <c r="J43" s="159">
        <f>-J38/$C$41*$C$43</f>
        <v>0</v>
      </c>
      <c r="K43" s="159">
        <f>-K38/$C$41*$C$43</f>
        <v>0</v>
      </c>
      <c r="L43" s="159">
        <f>-L38/$C$41*$C$43</f>
        <v>0</v>
      </c>
      <c r="M43" s="159">
        <f t="shared" ref="M43:S43" si="20">-M38/$C$41*$C$43</f>
        <v>0</v>
      </c>
      <c r="N43" s="159">
        <f t="shared" si="20"/>
        <v>0</v>
      </c>
      <c r="O43" s="159">
        <f t="shared" si="20"/>
        <v>0</v>
      </c>
      <c r="P43" s="159">
        <f t="shared" si="20"/>
        <v>0</v>
      </c>
      <c r="Q43" s="159">
        <f t="shared" si="20"/>
        <v>0</v>
      </c>
      <c r="R43" s="159">
        <f t="shared" si="20"/>
        <v>0</v>
      </c>
      <c r="S43" s="214">
        <f t="shared" si="20"/>
        <v>77810.771436066832</v>
      </c>
    </row>
    <row r="44" spans="1:19" ht="13.5" x14ac:dyDescent="0.3">
      <c r="A44" s="112"/>
      <c r="B44" s="115"/>
      <c r="C44" s="162"/>
      <c r="D44" s="162"/>
      <c r="E44" s="157"/>
      <c r="F44" s="154"/>
      <c r="G44" s="154"/>
      <c r="H44" s="159"/>
      <c r="I44" s="159"/>
      <c r="J44" s="159"/>
      <c r="K44" s="159"/>
      <c r="L44" s="159"/>
      <c r="M44" s="159"/>
      <c r="N44" s="159"/>
      <c r="O44" s="159"/>
      <c r="P44" s="159"/>
      <c r="Q44" s="159"/>
      <c r="R44" s="159"/>
      <c r="S44" s="214"/>
    </row>
    <row r="45" spans="1:19" ht="13.5" x14ac:dyDescent="0.3">
      <c r="A45" s="112"/>
      <c r="B45" s="116" t="s">
        <v>64</v>
      </c>
      <c r="C45" s="163"/>
      <c r="D45" s="163"/>
      <c r="E45" s="140">
        <f>+SUM(H45:S45)</f>
        <v>18112418.489068322</v>
      </c>
      <c r="F45" s="140"/>
      <c r="G45" s="140"/>
      <c r="H45" s="164">
        <f>+H31-SUM(H41:H43)</f>
        <v>0</v>
      </c>
      <c r="I45" s="164">
        <f>+I31-SUM(I41:I43)</f>
        <v>0</v>
      </c>
      <c r="J45" s="164">
        <f>+J31-SUM(J41:J43)</f>
        <v>0</v>
      </c>
      <c r="K45" s="164">
        <f>+K31-SUM(K41:K43)</f>
        <v>0</v>
      </c>
      <c r="L45" s="164">
        <f>+L31-SUM(L41:L43)</f>
        <v>0</v>
      </c>
      <c r="M45" s="164">
        <f t="shared" ref="M45:S45" si="21">+M31-SUM(M41:M43)</f>
        <v>0</v>
      </c>
      <c r="N45" s="164">
        <f t="shared" si="21"/>
        <v>0</v>
      </c>
      <c r="O45" s="164">
        <f t="shared" si="21"/>
        <v>0</v>
      </c>
      <c r="P45" s="164">
        <f t="shared" si="21"/>
        <v>0</v>
      </c>
      <c r="Q45" s="164">
        <f t="shared" si="21"/>
        <v>0</v>
      </c>
      <c r="R45" s="164">
        <f t="shared" si="21"/>
        <v>0</v>
      </c>
      <c r="S45" s="215">
        <f t="shared" si="21"/>
        <v>18112418.489068322</v>
      </c>
    </row>
    <row r="46" spans="1:19" ht="13.5" x14ac:dyDescent="0.3">
      <c r="A46" s="112"/>
      <c r="C46" s="165"/>
      <c r="D46" s="165"/>
      <c r="E46" s="149"/>
      <c r="F46" s="149"/>
      <c r="G46" s="149"/>
      <c r="H46" s="118"/>
      <c r="I46" s="118"/>
      <c r="J46" s="118"/>
      <c r="K46" s="118"/>
      <c r="L46" s="118"/>
      <c r="M46" s="118"/>
      <c r="N46" s="118"/>
      <c r="O46" s="118"/>
      <c r="P46" s="118"/>
      <c r="Q46" s="118"/>
      <c r="R46" s="118"/>
      <c r="S46" s="118"/>
    </row>
    <row r="47" spans="1:19" x14ac:dyDescent="0.3">
      <c r="A47" s="359" t="s">
        <v>164</v>
      </c>
      <c r="B47" s="111" t="s">
        <v>79</v>
      </c>
      <c r="C47" s="148" t="s">
        <v>72</v>
      </c>
      <c r="D47" s="146">
        <f>M7</f>
        <v>0.2</v>
      </c>
      <c r="E47" s="149"/>
      <c r="F47" s="149"/>
      <c r="G47" s="149"/>
      <c r="H47" s="118"/>
      <c r="I47" s="118"/>
      <c r="J47" s="118"/>
      <c r="K47" s="118"/>
      <c r="L47" s="118"/>
      <c r="M47" s="118"/>
      <c r="N47" s="118"/>
      <c r="O47" s="118"/>
      <c r="P47" s="118"/>
      <c r="Q47" s="118"/>
      <c r="R47" s="118"/>
      <c r="S47" s="118"/>
    </row>
    <row r="48" spans="1:19" x14ac:dyDescent="0.3">
      <c r="B48" s="113" t="s">
        <v>58</v>
      </c>
      <c r="C48" s="150"/>
      <c r="D48" s="150"/>
      <c r="E48" s="151"/>
      <c r="F48" s="151"/>
      <c r="G48" s="151"/>
      <c r="H48" s="410"/>
      <c r="I48" s="410"/>
      <c r="J48" s="410"/>
      <c r="K48" s="410"/>
      <c r="L48" s="410"/>
      <c r="M48" s="410"/>
      <c r="N48" s="410"/>
      <c r="O48" s="410"/>
      <c r="P48" s="410"/>
      <c r="Q48" s="410"/>
      <c r="R48" s="410"/>
      <c r="S48" s="411"/>
    </row>
    <row r="49" spans="1:19" x14ac:dyDescent="0.3">
      <c r="B49" s="114" t="s">
        <v>59</v>
      </c>
      <c r="C49" s="153"/>
      <c r="D49" s="153"/>
      <c r="E49" s="154">
        <f>SUM(H49:S49)</f>
        <v>0</v>
      </c>
      <c r="F49" s="154"/>
      <c r="G49" s="154"/>
      <c r="H49" s="412"/>
      <c r="I49" s="412"/>
      <c r="J49" s="412"/>
      <c r="K49" s="412"/>
      <c r="L49" s="412"/>
      <c r="M49" s="412"/>
      <c r="N49" s="412"/>
      <c r="O49" s="412"/>
      <c r="P49" s="412"/>
      <c r="Q49" s="412"/>
      <c r="R49" s="412"/>
      <c r="S49" s="413"/>
    </row>
    <row r="50" spans="1:19" x14ac:dyDescent="0.3">
      <c r="B50" s="114" t="s">
        <v>60</v>
      </c>
      <c r="C50" s="153"/>
      <c r="D50" s="153"/>
      <c r="E50" s="154">
        <f>SUM(H50:S50)</f>
        <v>0</v>
      </c>
      <c r="F50" s="154"/>
      <c r="G50" s="154"/>
      <c r="H50" s="412"/>
      <c r="I50" s="412"/>
      <c r="J50" s="412"/>
      <c r="K50" s="412"/>
      <c r="L50" s="412"/>
      <c r="M50" s="412"/>
      <c r="N50" s="412"/>
      <c r="O50" s="412"/>
      <c r="P50" s="412"/>
      <c r="Q50" s="412"/>
      <c r="R50" s="412"/>
      <c r="S50" s="413"/>
    </row>
    <row r="51" spans="1:19" x14ac:dyDescent="0.3">
      <c r="B51" s="114" t="s">
        <v>61</v>
      </c>
      <c r="C51" s="153"/>
      <c r="D51" s="153"/>
      <c r="E51" s="154">
        <f>SUM(H51:S51)</f>
        <v>0</v>
      </c>
      <c r="F51" s="154"/>
      <c r="G51" s="154"/>
      <c r="H51" s="412"/>
      <c r="I51" s="412"/>
      <c r="J51" s="412"/>
      <c r="K51" s="412"/>
      <c r="L51" s="412"/>
      <c r="M51" s="412"/>
      <c r="N51" s="412"/>
      <c r="O51" s="412"/>
      <c r="P51" s="412"/>
      <c r="Q51" s="412"/>
      <c r="R51" s="412"/>
      <c r="S51" s="413"/>
    </row>
    <row r="52" spans="1:19" x14ac:dyDescent="0.3">
      <c r="B52" s="114" t="s">
        <v>66</v>
      </c>
      <c r="C52" s="153"/>
      <c r="D52" s="153"/>
      <c r="E52" s="154">
        <f>SUM(H52:S52)</f>
        <v>0</v>
      </c>
      <c r="F52" s="154"/>
      <c r="G52" s="154"/>
      <c r="H52" s="412"/>
      <c r="I52" s="412"/>
      <c r="J52" s="412"/>
      <c r="K52" s="412"/>
      <c r="L52" s="412"/>
      <c r="M52" s="412"/>
      <c r="N52" s="412"/>
      <c r="O52" s="412"/>
      <c r="P52" s="412"/>
      <c r="Q52" s="412"/>
      <c r="R52" s="412"/>
      <c r="S52" s="413"/>
    </row>
    <row r="53" spans="1:19" x14ac:dyDescent="0.3">
      <c r="B53" s="114" t="s">
        <v>117</v>
      </c>
      <c r="C53" s="153"/>
      <c r="D53" s="153"/>
      <c r="E53" s="140">
        <f>SUM(H53:S53)</f>
        <v>0</v>
      </c>
      <c r="F53" s="140"/>
      <c r="G53" s="140"/>
      <c r="H53" s="414"/>
      <c r="I53" s="414"/>
      <c r="J53" s="414"/>
      <c r="K53" s="414"/>
      <c r="L53" s="414"/>
      <c r="M53" s="414"/>
      <c r="N53" s="414"/>
      <c r="O53" s="414"/>
      <c r="P53" s="414"/>
      <c r="Q53" s="414"/>
      <c r="R53" s="414"/>
      <c r="S53" s="415"/>
    </row>
    <row r="54" spans="1:19" x14ac:dyDescent="0.3">
      <c r="B54" s="114" t="s">
        <v>62</v>
      </c>
      <c r="C54" s="153"/>
      <c r="D54" s="153"/>
      <c r="E54" s="154">
        <f>SUM(E49:E53)</f>
        <v>0</v>
      </c>
      <c r="F54" s="154"/>
      <c r="G54" s="277"/>
      <c r="H54" s="412"/>
      <c r="I54" s="412"/>
      <c r="J54" s="412"/>
      <c r="K54" s="412"/>
      <c r="L54" s="412"/>
      <c r="M54" s="412"/>
      <c r="N54" s="412"/>
      <c r="O54" s="412"/>
      <c r="P54" s="412"/>
      <c r="Q54" s="412"/>
      <c r="R54" s="412"/>
      <c r="S54" s="413"/>
    </row>
    <row r="55" spans="1:19" x14ac:dyDescent="0.3">
      <c r="B55" s="114"/>
      <c r="C55" s="153"/>
      <c r="D55" s="153"/>
      <c r="E55" s="157"/>
      <c r="F55" s="157"/>
      <c r="G55" s="157"/>
      <c r="H55" s="155"/>
      <c r="I55" s="155"/>
      <c r="J55" s="155"/>
      <c r="K55" s="155"/>
      <c r="L55" s="155"/>
      <c r="M55" s="155"/>
      <c r="N55" s="155"/>
      <c r="O55" s="155"/>
      <c r="P55" s="155"/>
      <c r="Q55" s="155"/>
      <c r="R55" s="155"/>
      <c r="S55" s="213"/>
    </row>
    <row r="56" spans="1:19" x14ac:dyDescent="0.3">
      <c r="B56" s="115" t="s">
        <v>63</v>
      </c>
      <c r="C56" s="158">
        <f>Q7</f>
        <v>0.7</v>
      </c>
      <c r="D56" s="158"/>
      <c r="E56" s="154">
        <f>SUM(H56:S56)</f>
        <v>0</v>
      </c>
      <c r="F56" s="154"/>
      <c r="G56" s="154"/>
      <c r="H56" s="416"/>
      <c r="I56" s="416"/>
      <c r="J56" s="416"/>
      <c r="K56" s="416"/>
      <c r="L56" s="416"/>
      <c r="M56" s="416"/>
      <c r="N56" s="416"/>
      <c r="O56" s="416"/>
      <c r="P56" s="416"/>
      <c r="Q56" s="416"/>
      <c r="R56" s="416"/>
      <c r="S56" s="417"/>
    </row>
    <row r="57" spans="1:19" x14ac:dyDescent="0.3">
      <c r="B57" s="115" t="s">
        <v>125</v>
      </c>
      <c r="C57" s="158">
        <f>N7</f>
        <v>0.1</v>
      </c>
      <c r="D57" s="158"/>
      <c r="E57" s="154">
        <f>SUM(H57:S57)</f>
        <v>0</v>
      </c>
      <c r="F57" s="154"/>
      <c r="G57" s="154"/>
      <c r="H57" s="416"/>
      <c r="I57" s="416"/>
      <c r="J57" s="416"/>
      <c r="K57" s="416"/>
      <c r="L57" s="416"/>
      <c r="M57" s="416"/>
      <c r="N57" s="416"/>
      <c r="O57" s="416"/>
      <c r="P57" s="416"/>
      <c r="Q57" s="416"/>
      <c r="R57" s="416"/>
      <c r="S57" s="417"/>
    </row>
    <row r="58" spans="1:19" ht="13.9" customHeight="1" x14ac:dyDescent="0.3">
      <c r="B58" s="115" t="s">
        <v>126</v>
      </c>
      <c r="C58" s="158">
        <f>O7</f>
        <v>0.2</v>
      </c>
      <c r="D58" s="158"/>
      <c r="E58" s="154">
        <f>+SUM(H58:S58)</f>
        <v>0</v>
      </c>
      <c r="F58" s="161"/>
      <c r="G58" s="161"/>
      <c r="H58" s="416"/>
      <c r="I58" s="416"/>
      <c r="J58" s="416"/>
      <c r="K58" s="416"/>
      <c r="L58" s="416"/>
      <c r="M58" s="416"/>
      <c r="N58" s="416"/>
      <c r="O58" s="416"/>
      <c r="P58" s="416"/>
      <c r="Q58" s="416"/>
      <c r="R58" s="416"/>
      <c r="S58" s="417"/>
    </row>
    <row r="59" spans="1:19" x14ac:dyDescent="0.3">
      <c r="B59" s="115"/>
      <c r="C59" s="162"/>
      <c r="D59" s="162"/>
      <c r="E59" s="157"/>
      <c r="F59" s="154"/>
      <c r="G59" s="154"/>
      <c r="H59" s="159"/>
      <c r="I59" s="159"/>
      <c r="J59" s="159"/>
      <c r="K59" s="159"/>
      <c r="L59" s="159"/>
      <c r="M59" s="159"/>
      <c r="N59" s="159"/>
      <c r="O59" s="159"/>
      <c r="P59" s="159"/>
      <c r="Q59" s="159"/>
      <c r="R59" s="159"/>
      <c r="S59" s="214"/>
    </row>
    <row r="60" spans="1:19" x14ac:dyDescent="0.3">
      <c r="B60" s="116" t="s">
        <v>64</v>
      </c>
      <c r="C60" s="163"/>
      <c r="D60" s="163"/>
      <c r="E60" s="140">
        <f>+SUM(H60:S60)</f>
        <v>0</v>
      </c>
      <c r="F60" s="140"/>
      <c r="G60" s="140"/>
      <c r="H60" s="418"/>
      <c r="I60" s="418"/>
      <c r="J60" s="418"/>
      <c r="K60" s="418"/>
      <c r="L60" s="418"/>
      <c r="M60" s="418"/>
      <c r="N60" s="418"/>
      <c r="O60" s="418"/>
      <c r="P60" s="418"/>
      <c r="Q60" s="418"/>
      <c r="R60" s="418"/>
      <c r="S60" s="419"/>
    </row>
    <row r="61" spans="1:19" x14ac:dyDescent="0.3">
      <c r="C61" s="135"/>
      <c r="D61" s="135"/>
      <c r="E61" s="138"/>
      <c r="F61" s="138"/>
      <c r="G61" s="138"/>
      <c r="H61" s="118"/>
      <c r="I61" s="118"/>
      <c r="J61" s="118"/>
      <c r="K61" s="118"/>
      <c r="L61" s="118"/>
      <c r="M61" s="118"/>
      <c r="N61" s="118"/>
      <c r="O61" s="118"/>
      <c r="P61" s="118"/>
      <c r="Q61" s="118"/>
      <c r="R61" s="118"/>
      <c r="S61" s="118"/>
    </row>
    <row r="62" spans="1:19" x14ac:dyDescent="0.3">
      <c r="A62" s="359" t="s">
        <v>164</v>
      </c>
      <c r="B62" s="111" t="s">
        <v>113</v>
      </c>
      <c r="C62" s="148" t="s">
        <v>72</v>
      </c>
      <c r="D62" s="146">
        <f>M8</f>
        <v>0.25</v>
      </c>
      <c r="E62" s="278"/>
      <c r="F62" s="278"/>
      <c r="G62" s="278"/>
      <c r="H62" s="118"/>
      <c r="I62" s="118"/>
      <c r="J62" s="118"/>
      <c r="K62" s="118"/>
      <c r="L62" s="118"/>
      <c r="M62" s="118"/>
      <c r="N62" s="118"/>
      <c r="O62" s="118"/>
      <c r="P62" s="118"/>
      <c r="Q62" s="118"/>
      <c r="R62" s="118"/>
      <c r="S62" s="118"/>
    </row>
    <row r="63" spans="1:19" x14ac:dyDescent="0.3">
      <c r="B63" s="113" t="s">
        <v>58</v>
      </c>
      <c r="C63" s="166"/>
      <c r="D63" s="166"/>
      <c r="E63" s="151"/>
      <c r="F63" s="151"/>
      <c r="G63" s="151"/>
      <c r="H63" s="152">
        <f>+G70</f>
        <v>0</v>
      </c>
      <c r="I63" s="152">
        <f>+H70</f>
        <v>0</v>
      </c>
      <c r="J63" s="152">
        <f>+I70</f>
        <v>2500000</v>
      </c>
      <c r="K63" s="152">
        <f>+J70</f>
        <v>12546923.162803765</v>
      </c>
      <c r="L63" s="152">
        <f>+K70</f>
        <v>14782419.690105595</v>
      </c>
      <c r="M63" s="152">
        <f t="shared" ref="M63:S63" si="22">+L70</f>
        <v>18059874.84440656</v>
      </c>
      <c r="N63" s="152">
        <f t="shared" si="22"/>
        <v>18798845.423422445</v>
      </c>
      <c r="O63" s="152">
        <f t="shared" si="22"/>
        <v>19251685.937152874</v>
      </c>
      <c r="P63" s="152">
        <f t="shared" si="22"/>
        <v>19545525.934543267</v>
      </c>
      <c r="Q63" s="152">
        <f t="shared" si="22"/>
        <v>19844881.092747983</v>
      </c>
      <c r="R63" s="152">
        <f t="shared" si="22"/>
        <v>20149854.927282535</v>
      </c>
      <c r="S63" s="212">
        <f t="shared" si="22"/>
        <v>20460552.896572586</v>
      </c>
    </row>
    <row r="64" spans="1:19" x14ac:dyDescent="0.3">
      <c r="B64" s="114" t="s">
        <v>59</v>
      </c>
      <c r="C64" s="158"/>
      <c r="D64" s="158"/>
      <c r="E64" s="154">
        <f t="shared" ref="E64:E69" si="23">SUM(H64:S64)</f>
        <v>18000000</v>
      </c>
      <c r="F64" s="154"/>
      <c r="G64" s="154"/>
      <c r="H64" s="155">
        <f>+H22</f>
        <v>0</v>
      </c>
      <c r="I64" s="155">
        <f>+I22</f>
        <v>2500000</v>
      </c>
      <c r="J64" s="155">
        <f>+J22</f>
        <v>10000000</v>
      </c>
      <c r="K64" s="155">
        <f>+K22</f>
        <v>2000000</v>
      </c>
      <c r="L64" s="155">
        <f>+L22</f>
        <v>3000000</v>
      </c>
      <c r="M64" s="155">
        <f t="shared" ref="M64:S64" si="24">+M22</f>
        <v>400000</v>
      </c>
      <c r="N64" s="155">
        <f t="shared" si="24"/>
        <v>100000</v>
      </c>
      <c r="O64" s="155">
        <f t="shared" si="24"/>
        <v>0</v>
      </c>
      <c r="P64" s="155">
        <f t="shared" si="24"/>
        <v>0</v>
      </c>
      <c r="Q64" s="155">
        <f t="shared" si="24"/>
        <v>0</v>
      </c>
      <c r="R64" s="155">
        <f t="shared" si="24"/>
        <v>0</v>
      </c>
      <c r="S64" s="213">
        <f t="shared" si="24"/>
        <v>0</v>
      </c>
    </row>
    <row r="65" spans="1:19" x14ac:dyDescent="0.3">
      <c r="B65" s="114" t="s">
        <v>60</v>
      </c>
      <c r="C65" s="158"/>
      <c r="D65" s="158"/>
      <c r="E65" s="154">
        <f t="shared" si="23"/>
        <v>3114582.438420956</v>
      </c>
      <c r="F65" s="154"/>
      <c r="G65" s="154"/>
      <c r="H65" s="155">
        <f t="shared" ref="H65:S65" si="25">+H63*((1+$D$62)^(1/12)-1)</f>
        <v>0</v>
      </c>
      <c r="I65" s="155">
        <f t="shared" si="25"/>
        <v>0</v>
      </c>
      <c r="J65" s="155">
        <f t="shared" si="25"/>
        <v>46923.162803765292</v>
      </c>
      <c r="K65" s="155">
        <f t="shared" si="25"/>
        <v>235496.52730182995</v>
      </c>
      <c r="L65" s="155">
        <f t="shared" si="25"/>
        <v>277455.1543009642</v>
      </c>
      <c r="M65" s="155">
        <f t="shared" si="25"/>
        <v>338970.57901588577</v>
      </c>
      <c r="N65" s="155">
        <f t="shared" si="25"/>
        <v>352840.51373042777</v>
      </c>
      <c r="O65" s="155">
        <f t="shared" si="25"/>
        <v>361339.99739039323</v>
      </c>
      <c r="P65" s="155">
        <f t="shared" si="25"/>
        <v>366855.15820471622</v>
      </c>
      <c r="Q65" s="155">
        <f t="shared" si="25"/>
        <v>372473.8345345509</v>
      </c>
      <c r="R65" s="155">
        <f t="shared" si="25"/>
        <v>378197.96929005225</v>
      </c>
      <c r="S65" s="213">
        <f t="shared" si="25"/>
        <v>384029.54184837081</v>
      </c>
    </row>
    <row r="66" spans="1:19" x14ac:dyDescent="0.3">
      <c r="B66" s="114" t="s">
        <v>61</v>
      </c>
      <c r="C66" s="158"/>
      <c r="D66" s="158"/>
      <c r="E66" s="154">
        <f t="shared" si="23"/>
        <v>-19268526.416913908</v>
      </c>
      <c r="F66" s="154"/>
      <c r="G66" s="154"/>
      <c r="H66" s="155">
        <f t="shared" ref="H66:S66" si="26">+H$24</f>
        <v>0</v>
      </c>
      <c r="I66" s="155">
        <f t="shared" si="26"/>
        <v>0</v>
      </c>
      <c r="J66" s="155">
        <f t="shared" si="26"/>
        <v>0</v>
      </c>
      <c r="K66" s="155">
        <f t="shared" si="26"/>
        <v>0</v>
      </c>
      <c r="L66" s="155">
        <f t="shared" si="26"/>
        <v>0</v>
      </c>
      <c r="M66" s="155">
        <f t="shared" si="26"/>
        <v>0</v>
      </c>
      <c r="N66" s="155">
        <f t="shared" si="26"/>
        <v>0</v>
      </c>
      <c r="O66" s="155">
        <f t="shared" si="26"/>
        <v>-67500</v>
      </c>
      <c r="P66" s="155">
        <f t="shared" si="26"/>
        <v>-67500</v>
      </c>
      <c r="Q66" s="155">
        <f t="shared" si="26"/>
        <v>-67500</v>
      </c>
      <c r="R66" s="155">
        <f t="shared" si="26"/>
        <v>-67500</v>
      </c>
      <c r="S66" s="213">
        <f t="shared" si="26"/>
        <v>-18998526.416913908</v>
      </c>
    </row>
    <row r="67" spans="1:19" x14ac:dyDescent="0.3">
      <c r="B67" s="114" t="s">
        <v>66</v>
      </c>
      <c r="C67" s="158"/>
      <c r="D67" s="158"/>
      <c r="E67" s="154">
        <f t="shared" si="23"/>
        <v>-622486.17148853466</v>
      </c>
      <c r="F67" s="154"/>
      <c r="G67" s="154"/>
      <c r="H67" s="155">
        <f t="shared" ref="H67:S67" si="27">+H$38</f>
        <v>0</v>
      </c>
      <c r="I67" s="155">
        <f t="shared" si="27"/>
        <v>0</v>
      </c>
      <c r="J67" s="155">
        <f t="shared" si="27"/>
        <v>0</v>
      </c>
      <c r="K67" s="155">
        <f t="shared" si="27"/>
        <v>0</v>
      </c>
      <c r="L67" s="155">
        <f t="shared" si="27"/>
        <v>0</v>
      </c>
      <c r="M67" s="155">
        <f t="shared" si="27"/>
        <v>0</v>
      </c>
      <c r="N67" s="155">
        <f t="shared" si="27"/>
        <v>0</v>
      </c>
      <c r="O67" s="155">
        <f t="shared" si="27"/>
        <v>0</v>
      </c>
      <c r="P67" s="155">
        <f t="shared" si="27"/>
        <v>0</v>
      </c>
      <c r="Q67" s="155">
        <f t="shared" si="27"/>
        <v>0</v>
      </c>
      <c r="R67" s="155">
        <f t="shared" si="27"/>
        <v>0</v>
      </c>
      <c r="S67" s="213">
        <f t="shared" si="27"/>
        <v>-622486.17148853466</v>
      </c>
    </row>
    <row r="68" spans="1:19" x14ac:dyDescent="0.3">
      <c r="B68" s="114" t="s">
        <v>117</v>
      </c>
      <c r="C68" s="158"/>
      <c r="D68" s="158"/>
      <c r="E68" s="154">
        <f t="shared" si="23"/>
        <v>0</v>
      </c>
      <c r="F68" s="154"/>
      <c r="G68" s="154"/>
      <c r="H68" s="155">
        <f t="shared" ref="H68:S68" si="28">+H$53</f>
        <v>0</v>
      </c>
      <c r="I68" s="155">
        <f t="shared" si="28"/>
        <v>0</v>
      </c>
      <c r="J68" s="155">
        <f t="shared" si="28"/>
        <v>0</v>
      </c>
      <c r="K68" s="155">
        <f t="shared" si="28"/>
        <v>0</v>
      </c>
      <c r="L68" s="155">
        <f t="shared" si="28"/>
        <v>0</v>
      </c>
      <c r="M68" s="155">
        <f t="shared" si="28"/>
        <v>0</v>
      </c>
      <c r="N68" s="155">
        <f t="shared" si="28"/>
        <v>0</v>
      </c>
      <c r="O68" s="155">
        <f t="shared" si="28"/>
        <v>0</v>
      </c>
      <c r="P68" s="155">
        <f t="shared" si="28"/>
        <v>0</v>
      </c>
      <c r="Q68" s="155">
        <f t="shared" si="28"/>
        <v>0</v>
      </c>
      <c r="R68" s="155">
        <f t="shared" si="28"/>
        <v>0</v>
      </c>
      <c r="S68" s="213">
        <f t="shared" si="28"/>
        <v>0</v>
      </c>
    </row>
    <row r="69" spans="1:19" x14ac:dyDescent="0.3">
      <c r="B69" s="114" t="s">
        <v>118</v>
      </c>
      <c r="C69" s="158"/>
      <c r="D69" s="158"/>
      <c r="E69" s="140">
        <f t="shared" si="23"/>
        <v>0</v>
      </c>
      <c r="F69" s="140"/>
      <c r="G69" s="140"/>
      <c r="H69" s="142">
        <f>MIN(0,MAX(-(H63+H65+H66+H67+H68),-$C$72*H60))</f>
        <v>0</v>
      </c>
      <c r="I69" s="142">
        <f>MIN(0,MAX(-(I63+I65+I66+I67+I68),-$C$72*I60))</f>
        <v>0</v>
      </c>
      <c r="J69" s="142">
        <f>MIN(0,MAX(-(J63+J65+J66+J67+J68),-$C$72*J60))</f>
        <v>0</v>
      </c>
      <c r="K69" s="142">
        <f>MIN(0,MAX(-(K63+K65+K66+K67+K68),-$C$72*K60))</f>
        <v>0</v>
      </c>
      <c r="L69" s="142">
        <f>MIN(0,MAX(-(L63+L65+L66+L67+L68),-$C$72*L60))</f>
        <v>0</v>
      </c>
      <c r="M69" s="142">
        <f t="shared" ref="M69:S69" si="29">MIN(0,MAX(-(M63+M65+M66+M67+M68),-$C$72*M60))</f>
        <v>0</v>
      </c>
      <c r="N69" s="142">
        <f t="shared" si="29"/>
        <v>0</v>
      </c>
      <c r="O69" s="142">
        <f t="shared" si="29"/>
        <v>0</v>
      </c>
      <c r="P69" s="142">
        <f t="shared" si="29"/>
        <v>0</v>
      </c>
      <c r="Q69" s="142">
        <f t="shared" si="29"/>
        <v>0</v>
      </c>
      <c r="R69" s="142">
        <f t="shared" si="29"/>
        <v>0</v>
      </c>
      <c r="S69" s="216">
        <f t="shared" si="29"/>
        <v>0</v>
      </c>
    </row>
    <row r="70" spans="1:19" x14ac:dyDescent="0.3">
      <c r="B70" s="114" t="s">
        <v>62</v>
      </c>
      <c r="C70" s="158"/>
      <c r="D70" s="158"/>
      <c r="E70" s="154">
        <f>SUM(E64:E69)</f>
        <v>1223569.8500185125</v>
      </c>
      <c r="F70" s="154"/>
      <c r="G70" s="277"/>
      <c r="H70" s="155">
        <f>SUM(H63:H69)</f>
        <v>0</v>
      </c>
      <c r="I70" s="155">
        <f>SUM(I63:I69)</f>
        <v>2500000</v>
      </c>
      <c r="J70" s="155">
        <f>SUM(J63:J69)</f>
        <v>12546923.162803765</v>
      </c>
      <c r="K70" s="155">
        <f>SUM(K63:K69)</f>
        <v>14782419.690105595</v>
      </c>
      <c r="L70" s="155">
        <f>SUM(L63:L69)</f>
        <v>18059874.84440656</v>
      </c>
      <c r="M70" s="155">
        <f t="shared" ref="M70:S70" si="30">SUM(M63:M69)</f>
        <v>18798845.423422445</v>
      </c>
      <c r="N70" s="155">
        <f t="shared" si="30"/>
        <v>19251685.937152874</v>
      </c>
      <c r="O70" s="155">
        <f t="shared" si="30"/>
        <v>19545525.934543267</v>
      </c>
      <c r="P70" s="155">
        <f t="shared" si="30"/>
        <v>19844881.092747983</v>
      </c>
      <c r="Q70" s="155">
        <f t="shared" si="30"/>
        <v>20149854.927282535</v>
      </c>
      <c r="R70" s="155">
        <f t="shared" si="30"/>
        <v>20460552.896572586</v>
      </c>
      <c r="S70" s="213">
        <f t="shared" si="30"/>
        <v>1223569.8500185162</v>
      </c>
    </row>
    <row r="71" spans="1:19" x14ac:dyDescent="0.3">
      <c r="B71" s="114"/>
      <c r="C71" s="158"/>
      <c r="D71" s="158"/>
      <c r="E71" s="157"/>
      <c r="F71" s="157"/>
      <c r="G71" s="157"/>
      <c r="H71" s="155"/>
      <c r="I71" s="155"/>
      <c r="J71" s="155"/>
      <c r="K71" s="155"/>
      <c r="L71" s="155"/>
      <c r="M71" s="155"/>
      <c r="N71" s="155"/>
      <c r="O71" s="155"/>
      <c r="P71" s="155"/>
      <c r="Q71" s="155"/>
      <c r="R71" s="155"/>
      <c r="S71" s="213"/>
    </row>
    <row r="72" spans="1:19" x14ac:dyDescent="0.3">
      <c r="B72" s="115" t="s">
        <v>63</v>
      </c>
      <c r="C72" s="158">
        <f>Q8</f>
        <v>0.6</v>
      </c>
      <c r="D72" s="158"/>
      <c r="E72" s="154">
        <f>SUM(H72:S72)</f>
        <v>0</v>
      </c>
      <c r="F72" s="154"/>
      <c r="G72" s="154"/>
      <c r="H72" s="159">
        <f>MAX(0,MIN(-(H64+H69),H63+H65))</f>
        <v>0</v>
      </c>
      <c r="I72" s="159">
        <f>MAX(0,MIN(-(I64+I69),I63+I65))</f>
        <v>0</v>
      </c>
      <c r="J72" s="159">
        <f>MAX(0,MIN(-(J64+J69),J63+J65))</f>
        <v>0</v>
      </c>
      <c r="K72" s="159">
        <f>MAX(0,MIN(-(K64+K69),K63+K65))</f>
        <v>0</v>
      </c>
      <c r="L72" s="159">
        <f>MAX(0,MIN(-(L64+L69),L63+L65))</f>
        <v>0</v>
      </c>
      <c r="M72" s="159">
        <f t="shared" ref="M72:S72" si="31">MAX(0,MIN(-(M64+M69),M63+M65))</f>
        <v>0</v>
      </c>
      <c r="N72" s="159">
        <f t="shared" si="31"/>
        <v>0</v>
      </c>
      <c r="O72" s="159">
        <f t="shared" si="31"/>
        <v>0</v>
      </c>
      <c r="P72" s="159">
        <f t="shared" si="31"/>
        <v>0</v>
      </c>
      <c r="Q72" s="159">
        <f t="shared" si="31"/>
        <v>0</v>
      </c>
      <c r="R72" s="159">
        <f t="shared" si="31"/>
        <v>0</v>
      </c>
      <c r="S72" s="214">
        <f t="shared" si="31"/>
        <v>0</v>
      </c>
    </row>
    <row r="73" spans="1:19" x14ac:dyDescent="0.3">
      <c r="B73" s="115" t="s">
        <v>125</v>
      </c>
      <c r="C73" s="158">
        <f>N8</f>
        <v>0.1</v>
      </c>
      <c r="D73" s="158"/>
      <c r="E73" s="154">
        <f>SUM(H73:S73)</f>
        <v>0</v>
      </c>
      <c r="F73" s="154"/>
      <c r="G73" s="154"/>
      <c r="H73" s="159">
        <f>-H69/$C$72*$C$73</f>
        <v>0</v>
      </c>
      <c r="I73" s="159">
        <f>-I69/$C$72*$C$73</f>
        <v>0</v>
      </c>
      <c r="J73" s="159">
        <f>-J69/$C$72*$C$73</f>
        <v>0</v>
      </c>
      <c r="K73" s="159">
        <f>-K69/$C$72*$C$73</f>
        <v>0</v>
      </c>
      <c r="L73" s="159">
        <f>-L69/$C$72*$C$73</f>
        <v>0</v>
      </c>
      <c r="M73" s="159">
        <f t="shared" ref="M73:S73" si="32">-M69/$C$72*$C$73</f>
        <v>0</v>
      </c>
      <c r="N73" s="159">
        <f t="shared" si="32"/>
        <v>0</v>
      </c>
      <c r="O73" s="159">
        <f t="shared" si="32"/>
        <v>0</v>
      </c>
      <c r="P73" s="159">
        <f t="shared" si="32"/>
        <v>0</v>
      </c>
      <c r="Q73" s="159">
        <f t="shared" si="32"/>
        <v>0</v>
      </c>
      <c r="R73" s="159">
        <f t="shared" si="32"/>
        <v>0</v>
      </c>
      <c r="S73" s="214">
        <f t="shared" si="32"/>
        <v>0</v>
      </c>
    </row>
    <row r="74" spans="1:19" x14ac:dyDescent="0.3">
      <c r="B74" s="115" t="s">
        <v>126</v>
      </c>
      <c r="C74" s="158">
        <f>O8</f>
        <v>0.3</v>
      </c>
      <c r="D74" s="158"/>
      <c r="E74" s="154">
        <f>+SUM(H74:S74)</f>
        <v>0</v>
      </c>
      <c r="F74" s="161"/>
      <c r="G74" s="161"/>
      <c r="H74" s="159">
        <f>-H69/$C$72*$C$74</f>
        <v>0</v>
      </c>
      <c r="I74" s="159">
        <f>-I69/$C$72*$C$74</f>
        <v>0</v>
      </c>
      <c r="J74" s="159">
        <f>-J69/$C$72*$C$74</f>
        <v>0</v>
      </c>
      <c r="K74" s="159">
        <f>-K69/$C$72*$C$74</f>
        <v>0</v>
      </c>
      <c r="L74" s="159">
        <f>-L69/$C$72*$C$74</f>
        <v>0</v>
      </c>
      <c r="M74" s="159">
        <f t="shared" ref="M74:S74" si="33">-M69/$C$72*$C$74</f>
        <v>0</v>
      </c>
      <c r="N74" s="159">
        <f t="shared" si="33"/>
        <v>0</v>
      </c>
      <c r="O74" s="159">
        <f t="shared" si="33"/>
        <v>0</v>
      </c>
      <c r="P74" s="159">
        <f t="shared" si="33"/>
        <v>0</v>
      </c>
      <c r="Q74" s="159">
        <f t="shared" si="33"/>
        <v>0</v>
      </c>
      <c r="R74" s="159">
        <f t="shared" si="33"/>
        <v>0</v>
      </c>
      <c r="S74" s="214">
        <f t="shared" si="33"/>
        <v>0</v>
      </c>
    </row>
    <row r="75" spans="1:19" x14ac:dyDescent="0.3">
      <c r="B75" s="115"/>
      <c r="C75" s="162"/>
      <c r="D75" s="162"/>
      <c r="E75" s="157"/>
      <c r="F75" s="154"/>
      <c r="G75" s="154"/>
      <c r="H75" s="159"/>
      <c r="I75" s="159"/>
      <c r="J75" s="159"/>
      <c r="K75" s="159"/>
      <c r="L75" s="159"/>
      <c r="M75" s="159"/>
      <c r="N75" s="159"/>
      <c r="O75" s="159"/>
      <c r="P75" s="159"/>
      <c r="Q75" s="159"/>
      <c r="R75" s="159"/>
      <c r="S75" s="214"/>
    </row>
    <row r="76" spans="1:19" x14ac:dyDescent="0.3">
      <c r="B76" s="116" t="s">
        <v>64</v>
      </c>
      <c r="C76" s="163"/>
      <c r="D76" s="163"/>
      <c r="E76" s="140">
        <f>+SUM(H76:S76)</f>
        <v>0</v>
      </c>
      <c r="F76" s="140"/>
      <c r="G76" s="140"/>
      <c r="H76" s="164">
        <f>+H60-SUM(H72:H74)</f>
        <v>0</v>
      </c>
      <c r="I76" s="164">
        <f>+I60-SUM(I72:I74)</f>
        <v>0</v>
      </c>
      <c r="J76" s="164">
        <f>+J60-SUM(J72:J74)</f>
        <v>0</v>
      </c>
      <c r="K76" s="164">
        <f>+K60-SUM(K72:K74)</f>
        <v>0</v>
      </c>
      <c r="L76" s="164">
        <f>+L60-SUM(L72:L74)</f>
        <v>0</v>
      </c>
      <c r="M76" s="164">
        <f t="shared" ref="M76:S76" si="34">+M60-SUM(M72:M74)</f>
        <v>0</v>
      </c>
      <c r="N76" s="164">
        <f t="shared" si="34"/>
        <v>0</v>
      </c>
      <c r="O76" s="164">
        <f t="shared" si="34"/>
        <v>0</v>
      </c>
      <c r="P76" s="164">
        <f t="shared" si="34"/>
        <v>0</v>
      </c>
      <c r="Q76" s="164">
        <f t="shared" si="34"/>
        <v>0</v>
      </c>
      <c r="R76" s="164">
        <f t="shared" si="34"/>
        <v>0</v>
      </c>
      <c r="S76" s="215">
        <f t="shared" si="34"/>
        <v>0</v>
      </c>
    </row>
    <row r="77" spans="1:19" x14ac:dyDescent="0.3">
      <c r="C77" s="135"/>
      <c r="D77" s="135"/>
      <c r="E77" s="138"/>
      <c r="F77" s="138"/>
      <c r="G77" s="138"/>
      <c r="H77" s="118"/>
      <c r="I77" s="118"/>
      <c r="J77" s="118"/>
      <c r="K77" s="118"/>
      <c r="L77" s="118"/>
      <c r="M77" s="118"/>
      <c r="N77" s="118"/>
      <c r="O77" s="118"/>
      <c r="P77" s="118"/>
      <c r="Q77" s="118"/>
      <c r="R77" s="118"/>
      <c r="S77" s="118"/>
    </row>
    <row r="78" spans="1:19" x14ac:dyDescent="0.3">
      <c r="A78" s="359" t="s">
        <v>164</v>
      </c>
      <c r="B78" s="111" t="s">
        <v>114</v>
      </c>
      <c r="C78" s="279" t="s">
        <v>80</v>
      </c>
      <c r="D78" s="146">
        <f>M9</f>
        <v>0.25</v>
      </c>
      <c r="E78" s="138"/>
      <c r="F78" s="138"/>
      <c r="G78" s="138"/>
      <c r="H78" s="118"/>
      <c r="I78" s="118"/>
      <c r="J78" s="118"/>
      <c r="K78" s="118"/>
      <c r="L78" s="118"/>
      <c r="M78" s="118"/>
      <c r="N78" s="118"/>
      <c r="O78" s="118"/>
      <c r="P78" s="118"/>
      <c r="Q78" s="118"/>
      <c r="R78" s="118"/>
      <c r="S78" s="118"/>
    </row>
    <row r="79" spans="1:19" x14ac:dyDescent="0.3">
      <c r="B79" s="167" t="s">
        <v>63</v>
      </c>
      <c r="C79" s="166">
        <f>Q9</f>
        <v>0.4</v>
      </c>
      <c r="D79" s="166"/>
      <c r="E79" s="168">
        <f>SUM(H79:S79)</f>
        <v>0</v>
      </c>
      <c r="F79" s="151"/>
      <c r="G79" s="151"/>
      <c r="H79" s="152">
        <f>+$C$79*H76</f>
        <v>0</v>
      </c>
      <c r="I79" s="152">
        <f>+$C$79*I76</f>
        <v>0</v>
      </c>
      <c r="J79" s="152">
        <f>+$C$79*J76</f>
        <v>0</v>
      </c>
      <c r="K79" s="152">
        <f>+$C$79*K76</f>
        <v>0</v>
      </c>
      <c r="L79" s="152">
        <f>+$C$79*L76</f>
        <v>0</v>
      </c>
      <c r="M79" s="152">
        <f t="shared" ref="M79:S79" si="35">+$C$79*M76</f>
        <v>0</v>
      </c>
      <c r="N79" s="152">
        <f t="shared" si="35"/>
        <v>0</v>
      </c>
      <c r="O79" s="152">
        <f t="shared" si="35"/>
        <v>0</v>
      </c>
      <c r="P79" s="152">
        <f t="shared" si="35"/>
        <v>0</v>
      </c>
      <c r="Q79" s="152">
        <f t="shared" si="35"/>
        <v>0</v>
      </c>
      <c r="R79" s="152">
        <f t="shared" si="35"/>
        <v>0</v>
      </c>
      <c r="S79" s="212">
        <f t="shared" si="35"/>
        <v>0</v>
      </c>
    </row>
    <row r="80" spans="1:19" x14ac:dyDescent="0.3">
      <c r="B80" s="115" t="s">
        <v>125</v>
      </c>
      <c r="C80" s="158">
        <f>N9</f>
        <v>0.1</v>
      </c>
      <c r="D80" s="158"/>
      <c r="E80" s="154">
        <f>SUM(H80:S80)</f>
        <v>0</v>
      </c>
      <c r="F80" s="157"/>
      <c r="G80" s="157"/>
      <c r="H80" s="155">
        <f>+$C$80*H76</f>
        <v>0</v>
      </c>
      <c r="I80" s="155">
        <f>+$C$80*I76</f>
        <v>0</v>
      </c>
      <c r="J80" s="155">
        <f>+$C$80*J76</f>
        <v>0</v>
      </c>
      <c r="K80" s="155">
        <f>+$C$80*K76</f>
        <v>0</v>
      </c>
      <c r="L80" s="155">
        <f>+$C$80*L76</f>
        <v>0</v>
      </c>
      <c r="M80" s="155">
        <f t="shared" ref="M80:S80" si="36">+$C$80*M76</f>
        <v>0</v>
      </c>
      <c r="N80" s="155">
        <f t="shared" si="36"/>
        <v>0</v>
      </c>
      <c r="O80" s="155">
        <f t="shared" si="36"/>
        <v>0</v>
      </c>
      <c r="P80" s="155">
        <f t="shared" si="36"/>
        <v>0</v>
      </c>
      <c r="Q80" s="155">
        <f t="shared" si="36"/>
        <v>0</v>
      </c>
      <c r="R80" s="155">
        <f t="shared" si="36"/>
        <v>0</v>
      </c>
      <c r="S80" s="213">
        <f t="shared" si="36"/>
        <v>0</v>
      </c>
    </row>
    <row r="81" spans="2:19" x14ac:dyDescent="0.3">
      <c r="B81" s="115" t="s">
        <v>126</v>
      </c>
      <c r="C81" s="158">
        <f>O9</f>
        <v>0.5</v>
      </c>
      <c r="D81" s="158"/>
      <c r="E81" s="154">
        <f>+SUM(H81:S81)</f>
        <v>0</v>
      </c>
      <c r="F81" s="169"/>
      <c r="G81" s="169"/>
      <c r="H81" s="155">
        <f>+$C$81*H76</f>
        <v>0</v>
      </c>
      <c r="I81" s="155">
        <f>+$C$81*I76</f>
        <v>0</v>
      </c>
      <c r="J81" s="155">
        <f>+$C$81*J76</f>
        <v>0</v>
      </c>
      <c r="K81" s="155">
        <f>+$C$81*K76</f>
        <v>0</v>
      </c>
      <c r="L81" s="155">
        <f>+$C$81*L76</f>
        <v>0</v>
      </c>
      <c r="M81" s="155">
        <f t="shared" ref="M81:S81" si="37">+$C$81*M76</f>
        <v>0</v>
      </c>
      <c r="N81" s="155">
        <f t="shared" si="37"/>
        <v>0</v>
      </c>
      <c r="O81" s="155">
        <f t="shared" si="37"/>
        <v>0</v>
      </c>
      <c r="P81" s="155">
        <f t="shared" si="37"/>
        <v>0</v>
      </c>
      <c r="Q81" s="155">
        <f t="shared" si="37"/>
        <v>0</v>
      </c>
      <c r="R81" s="155">
        <f t="shared" si="37"/>
        <v>0</v>
      </c>
      <c r="S81" s="213">
        <f t="shared" si="37"/>
        <v>0</v>
      </c>
    </row>
    <row r="82" spans="2:19" x14ac:dyDescent="0.3">
      <c r="B82" s="115"/>
      <c r="C82" s="162"/>
      <c r="D82" s="162"/>
      <c r="E82" s="157"/>
      <c r="F82" s="154"/>
      <c r="G82" s="154"/>
      <c r="H82" s="159"/>
      <c r="I82" s="159"/>
      <c r="J82" s="159"/>
      <c r="K82" s="159"/>
      <c r="L82" s="159"/>
      <c r="M82" s="159"/>
      <c r="N82" s="159"/>
      <c r="O82" s="159"/>
      <c r="P82" s="159"/>
      <c r="Q82" s="159"/>
      <c r="R82" s="159"/>
      <c r="S82" s="214"/>
    </row>
    <row r="83" spans="2:19" s="130" customFormat="1" x14ac:dyDescent="0.3">
      <c r="B83" s="116" t="s">
        <v>64</v>
      </c>
      <c r="C83" s="170"/>
      <c r="D83" s="170"/>
      <c r="E83" s="140">
        <f>+SUM(H83:S83)</f>
        <v>0</v>
      </c>
      <c r="F83" s="140"/>
      <c r="G83" s="140"/>
      <c r="H83" s="164">
        <f t="shared" ref="H83:S83" si="38">+H76-SUM(H79:H81)</f>
        <v>0</v>
      </c>
      <c r="I83" s="164">
        <f t="shared" si="38"/>
        <v>0</v>
      </c>
      <c r="J83" s="164">
        <f t="shared" si="38"/>
        <v>0</v>
      </c>
      <c r="K83" s="164">
        <f t="shared" si="38"/>
        <v>0</v>
      </c>
      <c r="L83" s="164">
        <f t="shared" si="38"/>
        <v>0</v>
      </c>
      <c r="M83" s="164">
        <f t="shared" si="38"/>
        <v>0</v>
      </c>
      <c r="N83" s="164">
        <f t="shared" si="38"/>
        <v>0</v>
      </c>
      <c r="O83" s="164">
        <f t="shared" si="38"/>
        <v>0</v>
      </c>
      <c r="P83" s="164">
        <f t="shared" si="38"/>
        <v>0</v>
      </c>
      <c r="Q83" s="164">
        <f t="shared" si="38"/>
        <v>0</v>
      </c>
      <c r="R83" s="164">
        <f t="shared" si="38"/>
        <v>0</v>
      </c>
      <c r="S83" s="215">
        <f t="shared" si="38"/>
        <v>0</v>
      </c>
    </row>
    <row r="84" spans="2:19" x14ac:dyDescent="0.3">
      <c r="E84" s="138"/>
      <c r="F84" s="138"/>
      <c r="G84" s="138"/>
      <c r="H84" s="118"/>
      <c r="I84" s="118"/>
      <c r="J84" s="118"/>
      <c r="K84" s="118"/>
      <c r="L84" s="118"/>
      <c r="M84" s="118"/>
      <c r="N84" s="118"/>
      <c r="O84" s="118"/>
      <c r="P84" s="118"/>
      <c r="Q84" s="118"/>
      <c r="R84" s="118"/>
      <c r="S84" s="118"/>
    </row>
    <row r="85" spans="2:19" x14ac:dyDescent="0.3">
      <c r="B85" s="136" t="s">
        <v>81</v>
      </c>
      <c r="E85" s="138"/>
      <c r="F85" s="138"/>
      <c r="G85" s="138"/>
      <c r="H85" s="118"/>
      <c r="I85" s="118"/>
      <c r="J85" s="118"/>
      <c r="K85" s="118"/>
      <c r="L85" s="118"/>
      <c r="M85" s="118"/>
      <c r="N85" s="118"/>
      <c r="O85" s="118"/>
      <c r="P85" s="118"/>
      <c r="Q85" s="118"/>
      <c r="R85" s="118"/>
      <c r="S85" s="118"/>
    </row>
    <row r="86" spans="2:19" x14ac:dyDescent="0.3">
      <c r="E86" s="138"/>
      <c r="F86" s="138"/>
      <c r="G86" s="138"/>
      <c r="H86" s="118"/>
      <c r="I86" s="118"/>
      <c r="J86" s="118"/>
      <c r="K86" s="118"/>
      <c r="L86" s="118"/>
      <c r="M86" s="118"/>
      <c r="N86" s="118"/>
      <c r="O86" s="118"/>
      <c r="P86" s="118"/>
      <c r="Q86" s="118"/>
      <c r="R86" s="118"/>
      <c r="S86" s="118"/>
    </row>
    <row r="87" spans="2:19" x14ac:dyDescent="0.3">
      <c r="B87" s="171" t="s">
        <v>82</v>
      </c>
      <c r="E87" s="138"/>
      <c r="F87" s="138"/>
      <c r="G87" s="138"/>
      <c r="H87" s="144">
        <f>H16</f>
        <v>-2000000</v>
      </c>
      <c r="I87" s="144">
        <f>I16</f>
        <v>-2500000</v>
      </c>
      <c r="J87" s="144">
        <f>J16</f>
        <v>-10000000</v>
      </c>
      <c r="K87" s="144">
        <f>K16</f>
        <v>-2000000</v>
      </c>
      <c r="L87" s="144">
        <f>L16</f>
        <v>-3000000</v>
      </c>
      <c r="M87" s="144">
        <f t="shared" ref="M87:S87" si="39">M16</f>
        <v>-400000</v>
      </c>
      <c r="N87" s="144">
        <f t="shared" si="39"/>
        <v>-100000</v>
      </c>
      <c r="O87" s="144">
        <f t="shared" si="39"/>
        <v>75000</v>
      </c>
      <c r="P87" s="144">
        <f t="shared" si="39"/>
        <v>75000</v>
      </c>
      <c r="Q87" s="144">
        <f t="shared" si="39"/>
        <v>75000</v>
      </c>
      <c r="R87" s="144">
        <f t="shared" si="39"/>
        <v>75000</v>
      </c>
      <c r="S87" s="144">
        <f t="shared" si="39"/>
        <v>40000000</v>
      </c>
    </row>
    <row r="88" spans="2:19" x14ac:dyDescent="0.3">
      <c r="B88" s="172" t="s">
        <v>33</v>
      </c>
      <c r="C88" s="173">
        <f>(IRR(H87:S87,0.01)+1)^12-1</f>
        <v>1.5771137486302456</v>
      </c>
      <c r="D88" s="162"/>
      <c r="E88" s="154"/>
      <c r="F88" s="154"/>
      <c r="G88" s="154"/>
      <c r="H88" s="138"/>
      <c r="I88" s="138"/>
      <c r="J88" s="138"/>
      <c r="K88" s="138"/>
      <c r="L88" s="138"/>
      <c r="M88" s="138"/>
      <c r="N88" s="138"/>
      <c r="O88" s="138"/>
      <c r="P88" s="138"/>
      <c r="Q88" s="138"/>
      <c r="R88" s="138"/>
      <c r="S88" s="138"/>
    </row>
    <row r="89" spans="2:19" x14ac:dyDescent="0.3">
      <c r="B89" s="174" t="s">
        <v>83</v>
      </c>
      <c r="C89" s="280">
        <f>SUM(H87:S87)</f>
        <v>20300000</v>
      </c>
      <c r="D89" s="175"/>
      <c r="E89" s="159"/>
      <c r="F89" s="159"/>
      <c r="G89" s="159"/>
      <c r="H89" s="138"/>
      <c r="I89" s="138"/>
      <c r="J89" s="138"/>
      <c r="K89" s="138"/>
      <c r="L89" s="138"/>
      <c r="M89" s="138"/>
      <c r="N89" s="138"/>
      <c r="O89" s="138"/>
      <c r="P89" s="138"/>
      <c r="Q89" s="138"/>
      <c r="R89" s="138"/>
      <c r="S89" s="138"/>
    </row>
    <row r="90" spans="2:19" x14ac:dyDescent="0.3">
      <c r="B90" s="174" t="s">
        <v>84</v>
      </c>
      <c r="C90" s="280">
        <f>-SUMIF(H87:S87,"&lt;0",H87:S87)</f>
        <v>20000000</v>
      </c>
      <c r="D90" s="175"/>
      <c r="E90" s="159"/>
      <c r="F90" s="159"/>
      <c r="G90" s="159"/>
      <c r="H90" s="138"/>
      <c r="I90" s="138"/>
      <c r="J90" s="138"/>
      <c r="K90" s="138"/>
      <c r="L90" s="138"/>
      <c r="M90" s="138"/>
      <c r="N90" s="138"/>
      <c r="O90" s="138"/>
      <c r="P90" s="138"/>
      <c r="Q90" s="138"/>
      <c r="R90" s="138"/>
      <c r="S90" s="138"/>
    </row>
    <row r="91" spans="2:19" x14ac:dyDescent="0.3">
      <c r="B91" s="176" t="s">
        <v>85</v>
      </c>
      <c r="C91" s="177">
        <f>(C89+C90)/C90</f>
        <v>2.0150000000000001</v>
      </c>
      <c r="D91" s="178"/>
      <c r="E91" s="179"/>
      <c r="F91" s="179"/>
      <c r="G91" s="179"/>
      <c r="H91" s="138"/>
      <c r="I91" s="138"/>
      <c r="J91" s="138"/>
      <c r="K91" s="138"/>
      <c r="L91" s="138"/>
      <c r="M91" s="138"/>
      <c r="N91" s="138"/>
      <c r="O91" s="138"/>
      <c r="P91" s="138"/>
      <c r="Q91" s="138"/>
      <c r="R91" s="138"/>
      <c r="S91" s="138"/>
    </row>
    <row r="92" spans="2:19" x14ac:dyDescent="0.3">
      <c r="E92" s="138"/>
      <c r="F92" s="138"/>
      <c r="G92" s="138"/>
      <c r="H92" s="118"/>
      <c r="I92" s="118"/>
      <c r="J92" s="118"/>
      <c r="K92" s="118"/>
      <c r="L92" s="118"/>
      <c r="M92" s="118"/>
      <c r="N92" s="118"/>
      <c r="O92" s="118"/>
      <c r="P92" s="118"/>
      <c r="Q92" s="118"/>
      <c r="R92" s="118"/>
      <c r="S92" s="118"/>
    </row>
    <row r="93" spans="2:19" x14ac:dyDescent="0.3">
      <c r="B93" s="180" t="s">
        <v>86</v>
      </c>
      <c r="E93" s="138"/>
      <c r="F93" s="138"/>
      <c r="G93" s="138"/>
      <c r="H93" s="144">
        <f t="shared" ref="H93:S93" si="40">+H27+H41+H56+H72+H79</f>
        <v>0</v>
      </c>
      <c r="I93" s="144">
        <f t="shared" si="40"/>
        <v>-2500000</v>
      </c>
      <c r="J93" s="144">
        <f t="shared" si="40"/>
        <v>-10000000</v>
      </c>
      <c r="K93" s="144">
        <f t="shared" si="40"/>
        <v>-2000000</v>
      </c>
      <c r="L93" s="144">
        <f t="shared" si="40"/>
        <v>-3000000</v>
      </c>
      <c r="M93" s="144">
        <f t="shared" si="40"/>
        <v>-400000</v>
      </c>
      <c r="N93" s="144">
        <f t="shared" si="40"/>
        <v>-100000</v>
      </c>
      <c r="O93" s="144">
        <f t="shared" si="40"/>
        <v>67500</v>
      </c>
      <c r="P93" s="144">
        <f t="shared" si="40"/>
        <v>67500</v>
      </c>
      <c r="Q93" s="144">
        <f t="shared" si="40"/>
        <v>67500</v>
      </c>
      <c r="R93" s="144">
        <f t="shared" si="40"/>
        <v>67500</v>
      </c>
      <c r="S93" s="144">
        <f t="shared" si="40"/>
        <v>19621012.588402443</v>
      </c>
    </row>
    <row r="94" spans="2:19" x14ac:dyDescent="0.3">
      <c r="B94" s="172" t="s">
        <v>33</v>
      </c>
      <c r="C94" s="173">
        <f>(IRR(H93:S93,0.01)+1)^12-1</f>
        <v>0.15000000000000147</v>
      </c>
      <c r="D94" s="162"/>
      <c r="E94" s="154"/>
      <c r="F94" s="154"/>
      <c r="G94" s="154"/>
      <c r="H94" s="118"/>
      <c r="I94" s="118"/>
      <c r="J94" s="118"/>
      <c r="K94" s="118"/>
      <c r="L94" s="118"/>
      <c r="M94" s="118"/>
      <c r="N94" s="118"/>
      <c r="O94" s="118"/>
      <c r="P94" s="118"/>
      <c r="Q94" s="118"/>
      <c r="R94" s="118"/>
      <c r="S94" s="118"/>
    </row>
    <row r="95" spans="2:19" x14ac:dyDescent="0.3">
      <c r="B95" s="174" t="s">
        <v>83</v>
      </c>
      <c r="C95" s="280">
        <f>SUM(H93:S93)</f>
        <v>1891012.5884024426</v>
      </c>
      <c r="D95" s="175"/>
      <c r="E95" s="159"/>
      <c r="F95" s="159"/>
      <c r="G95" s="159"/>
      <c r="H95" s="118"/>
      <c r="I95" s="118"/>
      <c r="J95" s="118"/>
      <c r="K95" s="118"/>
      <c r="L95" s="118"/>
      <c r="M95" s="118"/>
      <c r="N95" s="118"/>
      <c r="O95" s="118"/>
      <c r="P95" s="118"/>
      <c r="Q95" s="118"/>
      <c r="R95" s="118"/>
      <c r="S95" s="118"/>
    </row>
    <row r="96" spans="2:19" x14ac:dyDescent="0.3">
      <c r="B96" s="174" t="s">
        <v>84</v>
      </c>
      <c r="C96" s="280">
        <f>-SUMIF(H93:S93,"&lt;0",H93:S93)</f>
        <v>18000000</v>
      </c>
      <c r="D96" s="175"/>
      <c r="E96" s="159"/>
      <c r="F96" s="159"/>
      <c r="G96" s="159"/>
      <c r="H96" s="118"/>
      <c r="I96" s="118"/>
      <c r="J96" s="118"/>
      <c r="K96" s="118"/>
      <c r="L96" s="118"/>
      <c r="M96" s="118"/>
      <c r="N96" s="118"/>
      <c r="O96" s="118"/>
      <c r="P96" s="118"/>
      <c r="Q96" s="118"/>
      <c r="R96" s="118"/>
      <c r="S96" s="118"/>
    </row>
    <row r="97" spans="2:19" x14ac:dyDescent="0.3">
      <c r="B97" s="176" t="s">
        <v>85</v>
      </c>
      <c r="C97" s="177">
        <f>(C95+C96)/C96</f>
        <v>1.1050562549112468</v>
      </c>
      <c r="D97" s="178"/>
      <c r="E97" s="179"/>
      <c r="F97" s="179"/>
      <c r="G97" s="179"/>
      <c r="H97" s="118"/>
      <c r="I97" s="118"/>
      <c r="J97" s="118"/>
      <c r="K97" s="118"/>
      <c r="L97" s="118"/>
      <c r="M97" s="118"/>
      <c r="N97" s="118"/>
      <c r="O97" s="118"/>
      <c r="P97" s="118"/>
      <c r="Q97" s="118"/>
      <c r="R97" s="118"/>
      <c r="S97" s="118"/>
    </row>
    <row r="98" spans="2:19" x14ac:dyDescent="0.3">
      <c r="E98" s="138"/>
      <c r="F98" s="138"/>
      <c r="G98" s="138"/>
      <c r="H98" s="118"/>
      <c r="I98" s="118"/>
      <c r="J98" s="118"/>
      <c r="K98" s="118"/>
      <c r="L98" s="118"/>
      <c r="M98" s="118"/>
      <c r="N98" s="118"/>
      <c r="O98" s="118"/>
      <c r="P98" s="118"/>
      <c r="Q98" s="118"/>
      <c r="R98" s="118"/>
      <c r="S98" s="118"/>
    </row>
    <row r="99" spans="2:19" x14ac:dyDescent="0.3">
      <c r="B99" s="180" t="s">
        <v>202</v>
      </c>
      <c r="E99" s="137"/>
      <c r="F99" s="138"/>
      <c r="G99" s="138"/>
      <c r="H99" s="118"/>
      <c r="I99" s="118"/>
      <c r="J99" s="118"/>
      <c r="K99" s="118"/>
      <c r="L99" s="118"/>
      <c r="M99" s="118"/>
      <c r="N99" s="118"/>
      <c r="O99" s="118"/>
      <c r="P99" s="118"/>
      <c r="Q99" s="118"/>
      <c r="R99" s="118"/>
      <c r="S99" s="118"/>
    </row>
    <row r="100" spans="2:19" x14ac:dyDescent="0.3">
      <c r="B100" s="181" t="s">
        <v>130</v>
      </c>
      <c r="C100" s="281">
        <f>SUM(H100:S100)</f>
        <v>-2000000</v>
      </c>
      <c r="D100" s="182"/>
      <c r="E100" s="154"/>
      <c r="F100" s="157"/>
      <c r="G100" s="138"/>
      <c r="H100" s="118">
        <f>H14+H22</f>
        <v>-2000000</v>
      </c>
      <c r="I100" s="118">
        <f t="shared" ref="I100:S100" si="41">I14+I22</f>
        <v>0</v>
      </c>
      <c r="J100" s="118">
        <f t="shared" si="41"/>
        <v>0</v>
      </c>
      <c r="K100" s="118">
        <f t="shared" si="41"/>
        <v>0</v>
      </c>
      <c r="L100" s="118">
        <f t="shared" si="41"/>
        <v>0</v>
      </c>
      <c r="M100" s="118">
        <f t="shared" si="41"/>
        <v>0</v>
      </c>
      <c r="N100" s="118">
        <f t="shared" si="41"/>
        <v>0</v>
      </c>
      <c r="O100" s="118">
        <f t="shared" si="41"/>
        <v>0</v>
      </c>
      <c r="P100" s="118">
        <f t="shared" si="41"/>
        <v>0</v>
      </c>
      <c r="Q100" s="118">
        <f t="shared" si="41"/>
        <v>0</v>
      </c>
      <c r="R100" s="118">
        <f t="shared" si="41"/>
        <v>0</v>
      </c>
      <c r="S100" s="118">
        <f t="shared" si="41"/>
        <v>0</v>
      </c>
    </row>
    <row r="101" spans="2:19" x14ac:dyDescent="0.3">
      <c r="B101" s="183" t="s">
        <v>203</v>
      </c>
      <c r="C101" s="282">
        <f>SUM(H101:S101)</f>
        <v>2218758.1510931677</v>
      </c>
      <c r="D101" s="182"/>
      <c r="E101" s="154"/>
      <c r="F101" s="157"/>
      <c r="G101" s="138"/>
      <c r="H101" s="118">
        <f t="shared" ref="H101:S102" si="42">+H28+H42+H57+H73+H80</f>
        <v>0</v>
      </c>
      <c r="I101" s="118">
        <f t="shared" si="42"/>
        <v>0</v>
      </c>
      <c r="J101" s="118">
        <f t="shared" si="42"/>
        <v>0</v>
      </c>
      <c r="K101" s="118">
        <f t="shared" si="42"/>
        <v>0</v>
      </c>
      <c r="L101" s="118">
        <f t="shared" si="42"/>
        <v>0</v>
      </c>
      <c r="M101" s="118">
        <f t="shared" si="42"/>
        <v>0</v>
      </c>
      <c r="N101" s="118">
        <f t="shared" si="42"/>
        <v>0</v>
      </c>
      <c r="O101" s="118">
        <f t="shared" si="42"/>
        <v>7500</v>
      </c>
      <c r="P101" s="118">
        <f t="shared" si="42"/>
        <v>7500</v>
      </c>
      <c r="Q101" s="118">
        <f t="shared" si="42"/>
        <v>7500</v>
      </c>
      <c r="R101" s="118">
        <f t="shared" si="42"/>
        <v>7500</v>
      </c>
      <c r="S101" s="118">
        <f t="shared" si="42"/>
        <v>2188758.1510931677</v>
      </c>
    </row>
    <row r="102" spans="2:19" ht="14.5" x14ac:dyDescent="0.45">
      <c r="B102" s="183" t="s">
        <v>204</v>
      </c>
      <c r="C102" s="283">
        <f>SUM(H102:S102)</f>
        <v>77810.771436066832</v>
      </c>
      <c r="D102" s="182"/>
      <c r="E102" s="154"/>
      <c r="F102" s="157"/>
      <c r="G102" s="141"/>
      <c r="H102" s="142">
        <f t="shared" si="42"/>
        <v>0</v>
      </c>
      <c r="I102" s="142">
        <f t="shared" si="42"/>
        <v>0</v>
      </c>
      <c r="J102" s="142">
        <f t="shared" si="42"/>
        <v>0</v>
      </c>
      <c r="K102" s="142">
        <f t="shared" si="42"/>
        <v>0</v>
      </c>
      <c r="L102" s="142">
        <f t="shared" si="42"/>
        <v>0</v>
      </c>
      <c r="M102" s="142">
        <f t="shared" si="42"/>
        <v>0</v>
      </c>
      <c r="N102" s="142">
        <f t="shared" si="42"/>
        <v>0</v>
      </c>
      <c r="O102" s="142">
        <f t="shared" si="42"/>
        <v>0</v>
      </c>
      <c r="P102" s="142">
        <f t="shared" si="42"/>
        <v>0</v>
      </c>
      <c r="Q102" s="142">
        <f t="shared" si="42"/>
        <v>0</v>
      </c>
      <c r="R102" s="142">
        <f t="shared" si="42"/>
        <v>0</v>
      </c>
      <c r="S102" s="142">
        <f t="shared" si="42"/>
        <v>77810.771436066832</v>
      </c>
    </row>
    <row r="103" spans="2:19" x14ac:dyDescent="0.3">
      <c r="B103" s="174" t="s">
        <v>87</v>
      </c>
      <c r="C103" s="284">
        <f>SUM(H103:S103)</f>
        <v>296568.92252923455</v>
      </c>
      <c r="D103" s="182"/>
      <c r="E103" s="154"/>
      <c r="F103" s="154"/>
      <c r="G103" s="137"/>
      <c r="H103" s="144">
        <f>SUM(H100:H102)</f>
        <v>-2000000</v>
      </c>
      <c r="I103" s="144">
        <f>SUM(I100:I102)</f>
        <v>0</v>
      </c>
      <c r="J103" s="144">
        <f>SUM(J100:J102)</f>
        <v>0</v>
      </c>
      <c r="K103" s="144">
        <f>SUM(K100:K102)</f>
        <v>0</v>
      </c>
      <c r="L103" s="144">
        <f>SUM(L100:L102)</f>
        <v>0</v>
      </c>
      <c r="M103" s="144">
        <f t="shared" ref="M103:S103" si="43">SUM(M100:M102)</f>
        <v>0</v>
      </c>
      <c r="N103" s="144">
        <f t="shared" si="43"/>
        <v>0</v>
      </c>
      <c r="O103" s="144">
        <f t="shared" si="43"/>
        <v>7500</v>
      </c>
      <c r="P103" s="144">
        <f t="shared" si="43"/>
        <v>7500</v>
      </c>
      <c r="Q103" s="144">
        <f t="shared" si="43"/>
        <v>7500</v>
      </c>
      <c r="R103" s="144">
        <f t="shared" si="43"/>
        <v>7500</v>
      </c>
      <c r="S103" s="144">
        <f t="shared" si="43"/>
        <v>2266568.9225292346</v>
      </c>
    </row>
    <row r="104" spans="2:19" x14ac:dyDescent="0.3">
      <c r="B104" s="174"/>
      <c r="C104" s="184"/>
      <c r="D104" s="182"/>
      <c r="E104" s="138"/>
      <c r="F104" s="138"/>
      <c r="G104" s="138"/>
      <c r="H104" s="144"/>
      <c r="I104" s="144"/>
      <c r="J104" s="144"/>
      <c r="K104" s="144"/>
      <c r="L104" s="144"/>
      <c r="M104" s="144"/>
      <c r="N104" s="144"/>
      <c r="O104" s="144"/>
      <c r="P104" s="144"/>
      <c r="Q104" s="144"/>
      <c r="R104" s="144"/>
      <c r="S104" s="144"/>
    </row>
    <row r="105" spans="2:19" x14ac:dyDescent="0.3">
      <c r="B105" s="174" t="s">
        <v>33</v>
      </c>
      <c r="C105" s="185">
        <f>IF(C5=0,"NA",(IRR(H103:S103,0.01)+1)^12-1)</f>
        <v>0.16334173211920699</v>
      </c>
      <c r="D105" s="186"/>
      <c r="E105" s="154"/>
      <c r="F105" s="154"/>
      <c r="G105" s="154"/>
      <c r="H105" s="118"/>
      <c r="I105" s="118"/>
      <c r="J105" s="118"/>
      <c r="K105" s="118"/>
      <c r="L105" s="118"/>
      <c r="M105" s="118"/>
      <c r="N105" s="118"/>
      <c r="O105" s="118"/>
      <c r="P105" s="118"/>
      <c r="Q105" s="118"/>
      <c r="R105" s="118"/>
      <c r="S105" s="118"/>
    </row>
    <row r="106" spans="2:19" x14ac:dyDescent="0.3">
      <c r="B106" s="174" t="s">
        <v>84</v>
      </c>
      <c r="C106" s="285">
        <f>IF(C5=0,"NA",-SUMIF(H103:S103,"&lt;0",H103:S103))</f>
        <v>2000000</v>
      </c>
      <c r="D106" s="187"/>
      <c r="E106" s="159"/>
      <c r="F106" s="159"/>
      <c r="G106" s="159"/>
      <c r="H106" s="118"/>
      <c r="I106" s="118"/>
      <c r="J106" s="118"/>
      <c r="K106" s="118"/>
      <c r="L106" s="118"/>
      <c r="M106" s="118"/>
      <c r="N106" s="118"/>
      <c r="O106" s="118"/>
      <c r="P106" s="118"/>
      <c r="Q106" s="118"/>
      <c r="R106" s="118"/>
      <c r="S106" s="118"/>
    </row>
    <row r="107" spans="2:19" x14ac:dyDescent="0.3">
      <c r="B107" s="176" t="s">
        <v>85</v>
      </c>
      <c r="C107" s="177">
        <f>(C103+C106)/C106</f>
        <v>1.1482844612646173</v>
      </c>
      <c r="D107" s="178"/>
      <c r="E107" s="179"/>
      <c r="F107" s="179"/>
      <c r="G107" s="179"/>
      <c r="H107" s="118"/>
      <c r="I107" s="118"/>
      <c r="J107" s="118"/>
      <c r="K107" s="118"/>
      <c r="L107" s="118"/>
      <c r="M107" s="118"/>
      <c r="N107" s="118"/>
      <c r="O107" s="118"/>
      <c r="P107" s="118"/>
      <c r="Q107" s="118"/>
      <c r="R107" s="118"/>
      <c r="S107" s="118"/>
    </row>
    <row r="108" spans="2:19" ht="13.5" thickBot="1" x14ac:dyDescent="0.35">
      <c r="H108" s="188"/>
      <c r="I108" s="188"/>
      <c r="J108" s="188"/>
      <c r="K108" s="188"/>
      <c r="L108" s="188"/>
      <c r="M108" s="188"/>
      <c r="N108" s="188"/>
      <c r="O108" s="188"/>
      <c r="P108" s="188"/>
      <c r="Q108" s="188"/>
      <c r="R108" s="188"/>
      <c r="S108" s="188"/>
    </row>
    <row r="109" spans="2:19" x14ac:dyDescent="0.3">
      <c r="B109" s="189" t="s">
        <v>88</v>
      </c>
      <c r="C109" s="190">
        <f>+SUM(H16:S16)-C95-C103</f>
        <v>18112418.489068322</v>
      </c>
      <c r="D109" s="191"/>
      <c r="E109" s="192"/>
      <c r="F109" s="192"/>
      <c r="G109" s="192"/>
    </row>
    <row r="110" spans="2:19" ht="13.5" thickBot="1" x14ac:dyDescent="0.35">
      <c r="B110" s="193" t="s">
        <v>89</v>
      </c>
      <c r="C110" s="194"/>
      <c r="D110" s="195"/>
      <c r="E110" s="196"/>
      <c r="F110" s="196"/>
      <c r="G110" s="196"/>
    </row>
    <row r="111" spans="2:19" x14ac:dyDescent="0.3">
      <c r="B111" s="197"/>
      <c r="C111" s="195"/>
      <c r="D111" s="195"/>
      <c r="E111" s="196"/>
      <c r="F111" s="196"/>
      <c r="G111" s="196"/>
    </row>
    <row r="112" spans="2:19" x14ac:dyDescent="0.3">
      <c r="B112" s="130" t="s">
        <v>90</v>
      </c>
      <c r="F112" s="198"/>
      <c r="G112" s="198"/>
    </row>
    <row r="113" spans="2:19" ht="17.25" customHeight="1" x14ac:dyDescent="0.3">
      <c r="B113" s="130"/>
      <c r="C113" s="199" t="s">
        <v>50</v>
      </c>
      <c r="D113" s="199"/>
      <c r="E113" s="199" t="s">
        <v>91</v>
      </c>
      <c r="F113" s="198"/>
      <c r="G113" s="198"/>
    </row>
    <row r="114" spans="2:19" x14ac:dyDescent="0.3">
      <c r="B114" s="198" t="s">
        <v>57</v>
      </c>
      <c r="C114" s="200">
        <f>D20</f>
        <v>0.1</v>
      </c>
      <c r="D114" s="200"/>
      <c r="E114" s="201">
        <f>(IRR(H114:S114,0.01)+1)^12-1</f>
        <v>9.9999999999997202E-2</v>
      </c>
      <c r="F114" s="135"/>
      <c r="G114" s="135"/>
      <c r="H114" s="138">
        <f t="shared" ref="H114:S114" si="44">-(H22+H24)</f>
        <v>0</v>
      </c>
      <c r="I114" s="138">
        <f t="shared" si="44"/>
        <v>-2500000</v>
      </c>
      <c r="J114" s="138">
        <f t="shared" si="44"/>
        <v>-10000000</v>
      </c>
      <c r="K114" s="138">
        <f t="shared" si="44"/>
        <v>-2000000</v>
      </c>
      <c r="L114" s="138">
        <f t="shared" si="44"/>
        <v>-3000000</v>
      </c>
      <c r="M114" s="138">
        <f t="shared" si="44"/>
        <v>-400000</v>
      </c>
      <c r="N114" s="138">
        <f t="shared" si="44"/>
        <v>-100000</v>
      </c>
      <c r="O114" s="138">
        <f t="shared" si="44"/>
        <v>67500</v>
      </c>
      <c r="P114" s="138">
        <f t="shared" si="44"/>
        <v>67500</v>
      </c>
      <c r="Q114" s="138">
        <f t="shared" si="44"/>
        <v>67500</v>
      </c>
      <c r="R114" s="138">
        <f t="shared" si="44"/>
        <v>67500</v>
      </c>
      <c r="S114" s="138">
        <f t="shared" si="44"/>
        <v>18998526.416913908</v>
      </c>
    </row>
    <row r="115" spans="2:19" x14ac:dyDescent="0.3">
      <c r="B115" s="198" t="s">
        <v>65</v>
      </c>
      <c r="C115" s="200">
        <f>D33</f>
        <v>0.15</v>
      </c>
      <c r="D115" s="200"/>
      <c r="E115" s="201">
        <f>(IRR(H115:S115,0.01)+1)^12-1</f>
        <v>0.15000000000000147</v>
      </c>
      <c r="F115" s="135"/>
      <c r="G115" s="135"/>
      <c r="H115" s="138">
        <f>-(H35+H37+H38)</f>
        <v>0</v>
      </c>
      <c r="I115" s="138">
        <f>-(I35+I37+I38)</f>
        <v>-2500000</v>
      </c>
      <c r="J115" s="138">
        <f>-(J35+J37+J38)</f>
        <v>-10000000</v>
      </c>
      <c r="K115" s="138">
        <f>-(K35+K37+K38)</f>
        <v>-2000000</v>
      </c>
      <c r="L115" s="138">
        <f>-(L35+L37+L38)</f>
        <v>-3000000</v>
      </c>
      <c r="M115" s="138">
        <f t="shared" ref="M115:S115" si="45">-(M35+M37+M38)</f>
        <v>-400000</v>
      </c>
      <c r="N115" s="138">
        <f t="shared" si="45"/>
        <v>-100000</v>
      </c>
      <c r="O115" s="138">
        <f t="shared" si="45"/>
        <v>67500</v>
      </c>
      <c r="P115" s="138">
        <f t="shared" si="45"/>
        <v>67500</v>
      </c>
      <c r="Q115" s="138">
        <f t="shared" si="45"/>
        <v>67500</v>
      </c>
      <c r="R115" s="138">
        <f t="shared" si="45"/>
        <v>67500</v>
      </c>
      <c r="S115" s="138">
        <f t="shared" si="45"/>
        <v>19621012.588402443</v>
      </c>
    </row>
    <row r="116" spans="2:19" x14ac:dyDescent="0.3">
      <c r="B116" s="198" t="s">
        <v>79</v>
      </c>
      <c r="C116" s="200">
        <f>D47</f>
        <v>0.2</v>
      </c>
      <c r="D116" s="200"/>
      <c r="E116" s="201" t="e">
        <f>(IRR(H116:S116,0.01)+1)^12-1</f>
        <v>#NUM!</v>
      </c>
      <c r="F116" s="286"/>
      <c r="G116" s="286"/>
      <c r="H116" s="138">
        <f>-(H49+H51+H52+H53)</f>
        <v>0</v>
      </c>
      <c r="I116" s="138">
        <f>-(I49+I51+I52+I53)</f>
        <v>0</v>
      </c>
      <c r="J116" s="138">
        <f>-(J49+J51+J52+J53)</f>
        <v>0</v>
      </c>
      <c r="K116" s="138">
        <f>-(K49+K51+K52+K53)</f>
        <v>0</v>
      </c>
      <c r="L116" s="138">
        <f>-(L49+L51+L52+L53)</f>
        <v>0</v>
      </c>
      <c r="M116" s="138">
        <f t="shared" ref="M116:S116" si="46">-(M49+M51+M52+M53)</f>
        <v>0</v>
      </c>
      <c r="N116" s="138">
        <f t="shared" si="46"/>
        <v>0</v>
      </c>
      <c r="O116" s="138">
        <f t="shared" si="46"/>
        <v>0</v>
      </c>
      <c r="P116" s="138">
        <f t="shared" si="46"/>
        <v>0</v>
      </c>
      <c r="Q116" s="138">
        <f t="shared" si="46"/>
        <v>0</v>
      </c>
      <c r="R116" s="138">
        <f t="shared" si="46"/>
        <v>0</v>
      </c>
      <c r="S116" s="138">
        <f t="shared" si="46"/>
        <v>0</v>
      </c>
    </row>
    <row r="117" spans="2:19" x14ac:dyDescent="0.3">
      <c r="B117" s="198" t="s">
        <v>113</v>
      </c>
      <c r="C117" s="200">
        <f>D62</f>
        <v>0.25</v>
      </c>
      <c r="D117" s="200"/>
      <c r="E117" s="201">
        <f>(IRR(H117:S117,0.01)+1)^12-1</f>
        <v>0.15000000000000147</v>
      </c>
      <c r="F117" s="135"/>
      <c r="G117" s="135"/>
      <c r="H117" s="138">
        <f>-(H64+H66+H67+H68+H69)</f>
        <v>0</v>
      </c>
      <c r="I117" s="138">
        <f>-(I64+I66+I67+I68+I69)</f>
        <v>-2500000</v>
      </c>
      <c r="J117" s="138">
        <f>-(J64+J66+J67+J68+J69)</f>
        <v>-10000000</v>
      </c>
      <c r="K117" s="138">
        <f>-(K64+K66+K67+K68+K69)</f>
        <v>-2000000</v>
      </c>
      <c r="L117" s="138">
        <f>-(L64+L66+L67+L68+L69)</f>
        <v>-3000000</v>
      </c>
      <c r="M117" s="138">
        <f t="shared" ref="M117:S117" si="47">-(M64+M66+M67+M68+M69)</f>
        <v>-400000</v>
      </c>
      <c r="N117" s="138">
        <f t="shared" si="47"/>
        <v>-100000</v>
      </c>
      <c r="O117" s="138">
        <f t="shared" si="47"/>
        <v>67500</v>
      </c>
      <c r="P117" s="138">
        <f t="shared" si="47"/>
        <v>67500</v>
      </c>
      <c r="Q117" s="138">
        <f t="shared" si="47"/>
        <v>67500</v>
      </c>
      <c r="R117" s="138">
        <f t="shared" si="47"/>
        <v>67500</v>
      </c>
      <c r="S117" s="138">
        <f t="shared" si="47"/>
        <v>19621012.588402443</v>
      </c>
    </row>
    <row r="118" spans="2:19" x14ac:dyDescent="0.3">
      <c r="E118" s="135"/>
      <c r="F118" s="135"/>
      <c r="G118" s="135"/>
      <c r="H118" s="135"/>
      <c r="I118" s="135"/>
      <c r="J118" s="135"/>
    </row>
    <row r="119" spans="2:19" x14ac:dyDescent="0.3">
      <c r="B119" s="202"/>
    </row>
  </sheetData>
  <mergeCells count="2">
    <mergeCell ref="J4:M4"/>
    <mergeCell ref="B10:D10"/>
  </mergeCells>
  <pageMargins left="0.34" right="0.31" top="0.3" bottom="0.42" header="0.25" footer="0.24"/>
  <pageSetup paperSize="5" scale="66" firstPageNumber="14" fitToHeight="2" orientation="landscape" useFirstPageNumber="1" horizontalDpi="1200" verticalDpi="1200" r:id="rId1"/>
  <headerFooter alignWithMargins="0">
    <oddFooter>&amp;L&amp;"Garamond,Regular"&amp;12Copyright 2009 Real Estate Financial Modeling, LLC. All rights reserved.&amp;R&amp;"Garamond,Regular"&amp;12Tab: &amp;A</oddFooter>
  </headerFooter>
  <rowBreaks count="1" manualBreakCount="1">
    <brk id="60" min="1"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Cover</vt:lpstr>
      <vt:lpstr>1. Pref Non-Compounded Annual</vt:lpstr>
      <vt:lpstr>2. Pref Non-Compounded Solution</vt:lpstr>
      <vt:lpstr>3. Pref Compounded Monthly</vt:lpstr>
      <vt:lpstr>4. Pref Compounded Solution</vt:lpstr>
      <vt:lpstr>5. 3-Tier Waterfall</vt:lpstr>
      <vt:lpstr>6.Double Promote Profit Sharing</vt:lpstr>
      <vt:lpstr>7. Double Promote Waterfall #1</vt:lpstr>
      <vt:lpstr>8. Exercise - Rebuild Tier #3</vt:lpstr>
      <vt:lpstr>9. Double Promote Waterfall #2</vt:lpstr>
      <vt:lpstr>10. Returns Exhibit</vt:lpstr>
      <vt:lpstr>Alternate Compounding Periods</vt:lpstr>
      <vt:lpstr>11. Partnership Structure 1</vt:lpstr>
      <vt:lpstr>12. Partnership Structure 2</vt:lpstr>
      <vt:lpstr>13. Partnership Structure 3</vt:lpstr>
      <vt:lpstr>14. Claw-Back</vt:lpstr>
      <vt:lpstr>'10. Returns Exhibit'!Print_Area</vt:lpstr>
      <vt:lpstr>'11. Partnership Structure 1'!Print_Area</vt:lpstr>
      <vt:lpstr>'12. Partnership Structure 2'!Print_Area</vt:lpstr>
      <vt:lpstr>'13. Partnership Structure 3'!Print_Area</vt:lpstr>
      <vt:lpstr>'6.Double Promote Profit Sharing'!Print_Area</vt:lpstr>
      <vt:lpstr>'7. Double Promote Waterfall #1'!Print_Area</vt:lpstr>
      <vt:lpstr>'8. Exercise - Rebuild Tier #3'!Print_Area</vt:lpstr>
      <vt:lpstr>'9. Double Promote Waterfall #2'!Print_Area</vt:lpstr>
      <vt:lpstr>'Alternate Compounding Periods'!Print_Area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REFM 2</dc:creator>
  <cp:lastModifiedBy>Bruce Kirsch</cp:lastModifiedBy>
  <cp:lastPrinted>2011-04-25T21:46:20Z</cp:lastPrinted>
  <dcterms:created xsi:type="dcterms:W3CDTF">2010-07-12T12:41:34Z</dcterms:created>
  <dcterms:modified xsi:type="dcterms:W3CDTF">2019-06-04T17:03:50Z</dcterms:modified>
</cp:coreProperties>
</file>